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codeName="ThisWorkbook"/>
  <mc:AlternateContent xmlns:mc="http://schemas.openxmlformats.org/markup-compatibility/2006">
    <mc:Choice Requires="x15">
      <x15ac:absPath xmlns:x15ac="http://schemas.microsoft.com/office/spreadsheetml/2010/11/ac" url="F:\100-zakázky\174-Doprava\2025_tabulky_EH\"/>
    </mc:Choice>
  </mc:AlternateContent>
  <xr:revisionPtr revIDLastSave="0" documentId="13_ncr:1_{D27A9AFA-0E9C-4AEE-A9DB-6D13D3FDEADA}" xr6:coauthVersionLast="47" xr6:coauthVersionMax="47" xr10:uidLastSave="{00000000-0000-0000-0000-000000000000}"/>
  <bookViews>
    <workbookView xWindow="-120" yWindow="-120" windowWidth="29040" windowHeight="15720" tabRatio="941" xr2:uid="{00000000-000D-0000-FFFF-FFFF00000000}"/>
  </bookViews>
  <sheets>
    <sheet name="0 Úvod" sheetId="46" r:id="rId1"/>
    <sheet name="1 CIN" sheetId="4" r:id="rId2"/>
    <sheet name="2 ZH" sheetId="6" r:id="rId3"/>
    <sheet name="3 Doprava a přeprava" sheetId="69" r:id="rId4"/>
    <sheet name="4 PN infrastruktury" sheetId="24" r:id="rId5"/>
    <sheet name="5 PN vozidel MHD" sheetId="53" r:id="rId6"/>
    <sheet name="6 Příjmy" sheetId="22" r:id="rId7"/>
    <sheet name="7 Finanční analýza" sheetId="17" r:id="rId8"/>
    <sheet name="8 Úspory času" sheetId="55" r:id="rId9"/>
    <sheet name="9 Hluk a nehodovost" sheetId="56" r:id="rId10"/>
    <sheet name="10 Emise a ŽP" sheetId="70" r:id="rId11"/>
    <sheet name="11 Klima" sheetId="71" r:id="rId12"/>
    <sheet name="12 Ostatní přínosy" sheetId="63" r:id="rId13"/>
    <sheet name="11 KF" sheetId="52" state="hidden" r:id="rId14"/>
    <sheet name="13 Ekonomická analýza" sheetId="58" r:id="rId15"/>
    <sheet name="Slovnik" sheetId="66" state="hidden" r:id="rId16"/>
    <sheet name="Změnový list" sheetId="68" state="hidden" r:id="rId17"/>
  </sheets>
  <externalReferences>
    <externalReference r:id="rId18"/>
  </externalReferences>
  <definedNames>
    <definedName name="_Ref472494490" localSheetId="2">'2 ZH'!#REF!</definedName>
    <definedName name="_Toc490165956" localSheetId="13">'11 KF'!#REF!</definedName>
    <definedName name="_Toc490165957" localSheetId="13">'11 KF'!#REF!</definedName>
    <definedName name="_Toc490165986" localSheetId="4">'4 PN infrastruktury'!$I$94</definedName>
    <definedName name="_Toc490166005" localSheetId="13">'11 KF'!#REF!</definedName>
    <definedName name="_Toc490166006" localSheetId="13">'11 KF'!#REF!</definedName>
    <definedName name="EKON.DOBA.ZIV">'[1]zbytková hodnota'!$F$13</definedName>
    <definedName name="FRČ.měsíce" localSheetId="12">IF('12 Ostatní přínosy'!FRPoč.měsíc="L",1,IF('12 Ostatní přínosy'!FRPoč.měsíc="Ú",2,IF('12 Ostatní přínosy'!FRPoč.měsíc="B",3,IF('12 Ostatní přínosy'!FRPoč.měsíc="D",4,IF('12 Ostatní přínosy'!FRPoč.měsíc="K",5,IF('12 Ostatní přínosy'!FRPoč.měsíc="Č",6,IF('12 Ostatní přínosy'!FRPoč.měsíc="Č",7,IF('12 Ostatní přínosy'!FRPoč.měsíc="S",8,IF('12 Ostatní přínosy'!FRPoč.měsíc="Z",9,IF('12 Ostatní přínosy'!FRPoč.měsíc="Ř",10,IF('12 Ostatní přínosy'!FRPoč.měsíc="L",11,12)))))))))))</definedName>
    <definedName name="FRČ.měsíce" localSheetId="15">IF(Slovnik!FRPoč.měsíc="L",1,IF(Slovnik!FRPoč.měsíc="Ú",2,IF(Slovnik!FRPoč.měsíc="B",3,IF(Slovnik!FRPoč.měsíc="D",4,IF(Slovnik!FRPoč.měsíc="K",5,IF(Slovnik!FRPoč.měsíc="Č",6,IF(Slovnik!FRPoč.měsíc="Č",7,IF(Slovnik!FRPoč.měsíc="S",8,IF(Slovnik!FRPoč.měsíc="Z",9,IF(Slovnik!FRPoč.měsíc="Ř",10,IF(Slovnik!FRPoč.měsíc="L",11,12)))))))))))</definedName>
    <definedName name="FRČ.měsíce">IF(FRPoč.měsíc="L",1,IF(FRPoč.měsíc="Ú",2,IF(FRPoč.měsíc="B",3,IF(FRPoč.měsíc="D",4,IF(FRPoč.měsíc="K",5,IF(FRPoč.měsíc="Č",6,IF(FRPoč.měsíc="Č",7,IF(FRPoč.měsíc="S",8,IF(FRPoč.měsíc="Z",9,IF(FRPoč.měsíc="Ř",10,IF(FRPoč.měsíc="L",11,12)))))))))))</definedName>
    <definedName name="FRPoč.měsíc" localSheetId="12">#REF!</definedName>
    <definedName name="FRPoč.měsíc" localSheetId="15">#REF!</definedName>
    <definedName name="FRPoč.měsíc">#REF!</definedName>
    <definedName name="FRPoč.rok" localSheetId="12">#REF!</definedName>
    <definedName name="FRPoč.rok" localSheetId="15">#REF!</definedName>
    <definedName name="FRPoč.rok">#REF!</definedName>
    <definedName name="_xlnm.Print_Area" localSheetId="0">'0 Úvod'!$A$1:$P$70</definedName>
    <definedName name="_xlnm.Print_Area" localSheetId="1">'1 CIN'!$A$1:$T$69</definedName>
    <definedName name="_xlnm.Print_Area" localSheetId="10">'10 Emise a ŽP'!$A$42:$T$96</definedName>
    <definedName name="_xlnm.Print_Area" localSheetId="13">'11 KF'!$A$1:$M$144</definedName>
    <definedName name="_xlnm.Print_Area" localSheetId="11">'11 Klima'!$A$2:$T$56</definedName>
    <definedName name="_xlnm.Print_Area" localSheetId="12">'12 Ostatní přínosy'!$A$1:$T$37</definedName>
    <definedName name="_xlnm.Print_Area" localSheetId="14">'13 Ekonomická analýza'!$A$1:$U$39</definedName>
    <definedName name="_xlnm.Print_Area" localSheetId="2">'2 ZH'!$A$1:$K$52</definedName>
    <definedName name="_xlnm.Print_Area" localSheetId="3">'3 Doprava a přeprava'!$B$2:$R$110</definedName>
    <definedName name="_xlnm.Print_Area" localSheetId="4">'4 PN infrastruktury'!$A$1:$T$83</definedName>
    <definedName name="_xlnm.Print_Area" localSheetId="5">'5 PN vozidel MHD'!$A$34:$T$92</definedName>
    <definedName name="_xlnm.Print_Area" localSheetId="6">'6 Příjmy'!$A$1:$T$46</definedName>
    <definedName name="_xlnm.Print_Area" localSheetId="7">'7 Finanční analýza'!$A$1:$T$51</definedName>
    <definedName name="_xlnm.Print_Area" localSheetId="8">'8 Úspory času'!$B$2:$T$56</definedName>
    <definedName name="_xlnm.Print_Area" localSheetId="9">'9 Hluk a nehodovost'!$B$2:$S$73</definedName>
    <definedName name="_xlnm.Print_Area" localSheetId="15">Slovnik!$B$1:$G$4</definedName>
    <definedName name="PINFRA">'7 Finanční analýza'!#REF!</definedName>
    <definedName name="PNINFRA" localSheetId="15">'7 Finanční analýza'!$U$3:$U$5</definedName>
    <definedName name="PNINFRA">'7 Finanční analýza'!$U$3:$U$6</definedName>
    <definedName name="PNVOZIDLA" localSheetId="15">'7 Finanční analýza'!$V$3:$V$7</definedName>
    <definedName name="PNVOZIDLA">'7 Finanční analýza'!$V$3:$V$8</definedName>
    <definedName name="SAZBA">#REF!</definedName>
    <definedName name="SLOVNIK">Slovnik!$C$2:$D$2</definedName>
  </definedNames>
  <calcPr calcId="191028"/>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234" i="71" l="1"/>
  <c r="D93" i="46" l="1"/>
  <c r="E93" i="46"/>
  <c r="F93" i="46"/>
  <c r="G93" i="46"/>
  <c r="H93" i="46"/>
  <c r="I93" i="46"/>
  <c r="J93" i="46"/>
  <c r="K93" i="46"/>
  <c r="L93" i="46"/>
  <c r="M93" i="46"/>
  <c r="H159" i="71" l="1"/>
  <c r="H163" i="71"/>
  <c r="D232" i="71"/>
  <c r="D233" i="71" s="1"/>
  <c r="D235" i="71" s="1"/>
  <c r="C231" i="71"/>
  <c r="C238" i="71" s="1"/>
  <c r="C245" i="71" s="1"/>
  <c r="C232" i="71"/>
  <c r="C239" i="71" s="1"/>
  <c r="C246" i="71" s="1"/>
  <c r="C233" i="71"/>
  <c r="C240" i="71" s="1"/>
  <c r="C247" i="71" s="1"/>
  <c r="C234" i="71"/>
  <c r="C241" i="71" s="1"/>
  <c r="C248" i="71" s="1"/>
  <c r="C235" i="71"/>
  <c r="C242" i="71" s="1"/>
  <c r="C249" i="71" s="1"/>
  <c r="C230" i="71"/>
  <c r="C237" i="71" s="1"/>
  <c r="C244" i="71" s="1"/>
  <c r="C202" i="71"/>
  <c r="C214" i="71" s="1"/>
  <c r="C207" i="71"/>
  <c r="C219" i="71" s="1"/>
  <c r="C210" i="71"/>
  <c r="C222" i="71" s="1"/>
  <c r="C209" i="71"/>
  <c r="C221" i="71" s="1"/>
  <c r="C208" i="71"/>
  <c r="C220" i="71" s="1"/>
  <c r="C206" i="71"/>
  <c r="C218" i="71" s="1"/>
  <c r="C205" i="71"/>
  <c r="C217" i="71" s="1"/>
  <c r="C204" i="71"/>
  <c r="C216" i="71" s="1"/>
  <c r="C203" i="71"/>
  <c r="C215" i="71" s="1"/>
  <c r="F189" i="71"/>
  <c r="G189" i="71" s="1"/>
  <c r="H189" i="71" s="1"/>
  <c r="I189" i="71" s="1"/>
  <c r="J189" i="71" s="1"/>
  <c r="K189" i="71" s="1"/>
  <c r="L189" i="71" s="1"/>
  <c r="M189" i="71" s="1"/>
  <c r="N189" i="71" s="1"/>
  <c r="O189" i="71" s="1"/>
  <c r="E201" i="71" s="1"/>
  <c r="F201" i="71" s="1"/>
  <c r="G201" i="71" s="1"/>
  <c r="H201" i="71" s="1"/>
  <c r="I201" i="71" s="1"/>
  <c r="J201" i="71" s="1"/>
  <c r="K201" i="71" s="1"/>
  <c r="L201" i="71" s="1"/>
  <c r="M201" i="71" s="1"/>
  <c r="N201" i="71" s="1"/>
  <c r="O201" i="71" s="1"/>
  <c r="E213" i="71" s="1"/>
  <c r="F213" i="71" s="1"/>
  <c r="G213" i="71" s="1"/>
  <c r="H213" i="71" s="1"/>
  <c r="I213" i="71" s="1"/>
  <c r="J213" i="71" s="1"/>
  <c r="K213" i="71" s="1"/>
  <c r="L213" i="71" s="1"/>
  <c r="M213" i="71" s="1"/>
  <c r="N213" i="71" s="1"/>
  <c r="O213" i="71" s="1"/>
  <c r="E231" i="71" l="1"/>
  <c r="C175" i="71"/>
  <c r="C179" i="71" s="1"/>
  <c r="E170" i="71"/>
  <c r="F170" i="71" s="1"/>
  <c r="G170" i="71" s="1"/>
  <c r="H170" i="71" s="1"/>
  <c r="I170" i="71" s="1"/>
  <c r="J170" i="71" s="1"/>
  <c r="K170" i="71" s="1"/>
  <c r="L170" i="71" s="1"/>
  <c r="M170" i="71" s="1"/>
  <c r="N170" i="71" s="1"/>
  <c r="D174" i="71" s="1"/>
  <c r="E174" i="71" s="1"/>
  <c r="F174" i="71" s="1"/>
  <c r="G174" i="71" s="1"/>
  <c r="H174" i="71" s="1"/>
  <c r="I174" i="71" s="1"/>
  <c r="J174" i="71" s="1"/>
  <c r="K174" i="71" s="1"/>
  <c r="L174" i="71" s="1"/>
  <c r="M174" i="71" s="1"/>
  <c r="N174" i="71" s="1"/>
  <c r="D178" i="71" s="1"/>
  <c r="E178" i="71" s="1"/>
  <c r="F178" i="71" s="1"/>
  <c r="G178" i="71" s="1"/>
  <c r="H178" i="71" s="1"/>
  <c r="I178" i="71" s="1"/>
  <c r="J178" i="71" s="1"/>
  <c r="K178" i="71" s="1"/>
  <c r="L178" i="71" s="1"/>
  <c r="M178" i="71" s="1"/>
  <c r="N178" i="71" s="1"/>
  <c r="K92" i="46"/>
  <c r="L92" i="46"/>
  <c r="M92" i="46"/>
  <c r="E92" i="46"/>
  <c r="F92" i="46"/>
  <c r="G92" i="46"/>
  <c r="H92" i="46"/>
  <c r="I92" i="46"/>
  <c r="J92" i="46"/>
  <c r="D92" i="46"/>
  <c r="L91" i="46"/>
  <c r="M91" i="46"/>
  <c r="K91" i="46"/>
  <c r="E91" i="46"/>
  <c r="F91" i="46"/>
  <c r="G91" i="46"/>
  <c r="H91" i="46"/>
  <c r="I91" i="46"/>
  <c r="J91" i="46"/>
  <c r="D91" i="46"/>
  <c r="F231" i="71" l="1"/>
  <c r="E235" i="71"/>
  <c r="E232" i="71"/>
  <c r="E233" i="71" s="1"/>
  <c r="G231" i="71" l="1"/>
  <c r="F235" i="71"/>
  <c r="F232" i="71"/>
  <c r="F233" i="71" s="1"/>
  <c r="H231" i="71" l="1"/>
  <c r="G235" i="71"/>
  <c r="G232" i="71"/>
  <c r="G233" i="71" s="1"/>
  <c r="I231" i="71" l="1"/>
  <c r="H235" i="71"/>
  <c r="H232" i="71"/>
  <c r="H233" i="71" s="1"/>
  <c r="J231" i="71" l="1"/>
  <c r="I235" i="71"/>
  <c r="I232" i="71"/>
  <c r="I233" i="71" s="1"/>
  <c r="K231" i="71" l="1"/>
  <c r="J235" i="71"/>
  <c r="J232" i="71"/>
  <c r="J233" i="71" s="1"/>
  <c r="L231" i="71" l="1"/>
  <c r="K235" i="71"/>
  <c r="K232" i="71"/>
  <c r="K233" i="71" s="1"/>
  <c r="M231" i="71" l="1"/>
  <c r="L235" i="71"/>
  <c r="L232" i="71"/>
  <c r="L233" i="71" s="1"/>
  <c r="N231" i="71" l="1"/>
  <c r="M232" i="71"/>
  <c r="M233" i="71" s="1"/>
  <c r="M235" i="71"/>
  <c r="O231" i="71" l="1"/>
  <c r="N232" i="71"/>
  <c r="N233" i="71" s="1"/>
  <c r="N235" i="71"/>
  <c r="P231" i="71" l="1"/>
  <c r="O232" i="71"/>
  <c r="O233" i="71" s="1"/>
  <c r="O235" i="71"/>
  <c r="Q231" i="71" l="1"/>
  <c r="P235" i="71"/>
  <c r="P232" i="71"/>
  <c r="P233" i="71" s="1"/>
  <c r="R231" i="71" l="1"/>
  <c r="Q235" i="71"/>
  <c r="Q232" i="71"/>
  <c r="Q233" i="71" s="1"/>
  <c r="S231" i="71" l="1"/>
  <c r="R235" i="71"/>
  <c r="R232" i="71"/>
  <c r="R233" i="71" s="1"/>
  <c r="T231" i="71" l="1"/>
  <c r="S235" i="71"/>
  <c r="S232" i="71"/>
  <c r="S233" i="71" s="1"/>
  <c r="U231" i="71" l="1"/>
  <c r="T235" i="71"/>
  <c r="T232" i="71"/>
  <c r="T233" i="71" s="1"/>
  <c r="V231" i="71" l="1"/>
  <c r="U232" i="71"/>
  <c r="U233" i="71" s="1"/>
  <c r="U235" i="71"/>
  <c r="W231" i="71" l="1"/>
  <c r="V232" i="71"/>
  <c r="V233" i="71" s="1"/>
  <c r="V235" i="71"/>
  <c r="X231" i="71" l="1"/>
  <c r="W232" i="71"/>
  <c r="W233" i="71" s="1"/>
  <c r="W235" i="71"/>
  <c r="Y231" i="71" l="1"/>
  <c r="X235" i="71"/>
  <c r="X232" i="71"/>
  <c r="X233" i="71" s="1"/>
  <c r="Z231" i="71" l="1"/>
  <c r="Y232" i="71"/>
  <c r="Y233" i="71" s="1"/>
  <c r="Y235" i="71"/>
  <c r="AA231" i="71" l="1"/>
  <c r="Z232" i="71"/>
  <c r="Z233" i="71" s="1"/>
  <c r="Z235" i="71"/>
  <c r="AB231" i="71" l="1"/>
  <c r="AA232" i="71"/>
  <c r="AA233" i="71" s="1"/>
  <c r="AA235" i="71"/>
  <c r="AC231" i="71" l="1"/>
  <c r="AB232" i="71"/>
  <c r="AB233" i="71" s="1"/>
  <c r="AB235" i="71"/>
  <c r="AD231" i="71" l="1"/>
  <c r="AC235" i="71"/>
  <c r="AC232" i="71"/>
  <c r="AC233" i="71" s="1"/>
  <c r="AE231" i="71" l="1"/>
  <c r="AD235" i="71"/>
  <c r="AD232" i="71"/>
  <c r="AD233" i="71" s="1"/>
  <c r="AF231" i="71" l="1"/>
  <c r="AE235" i="71"/>
  <c r="AE232" i="71"/>
  <c r="AE233" i="71" s="1"/>
  <c r="AG231" i="71" l="1"/>
  <c r="AH231" i="71" s="1"/>
  <c r="AI231" i="71" s="1"/>
  <c r="AJ231" i="71" s="1"/>
  <c r="AK231" i="71" s="1"/>
  <c r="AL231" i="71" s="1"/>
  <c r="AM231" i="71" s="1"/>
  <c r="AN231" i="71" s="1"/>
  <c r="AO231" i="71" s="1"/>
  <c r="AP231" i="71" s="1"/>
  <c r="AF235" i="71"/>
  <c r="AG235" i="71" s="1"/>
  <c r="AH235" i="71" s="1"/>
  <c r="AI235" i="71" s="1"/>
  <c r="AJ235" i="71" s="1"/>
  <c r="AK235" i="71" s="1"/>
  <c r="AL235" i="71" s="1"/>
  <c r="AM235" i="71" s="1"/>
  <c r="AN235" i="71" s="1"/>
  <c r="AO235" i="71" s="1"/>
  <c r="AP235" i="71" s="1"/>
  <c r="AF232" i="71"/>
  <c r="AF233" i="71" l="1"/>
  <c r="AG233" i="71" s="1"/>
  <c r="AH233" i="71" s="1"/>
  <c r="AI233" i="71" s="1"/>
  <c r="AJ233" i="71" s="1"/>
  <c r="AK233" i="71" s="1"/>
  <c r="AL233" i="71" s="1"/>
  <c r="AM233" i="71" s="1"/>
  <c r="AN233" i="71" s="1"/>
  <c r="AO233" i="71" s="1"/>
  <c r="AP233" i="71" s="1"/>
  <c r="AG232" i="71"/>
  <c r="AH232" i="71" s="1"/>
  <c r="AI232" i="71" s="1"/>
  <c r="AJ232" i="71" s="1"/>
  <c r="AK232" i="71" s="1"/>
  <c r="AL232" i="71" s="1"/>
  <c r="AM232" i="71" s="1"/>
  <c r="AN232" i="71" s="1"/>
  <c r="AO232" i="71" s="1"/>
  <c r="AP232" i="71" s="1"/>
  <c r="C109" i="71" l="1"/>
  <c r="N90" i="46"/>
  <c r="O90" i="46" s="1"/>
  <c r="P90" i="46" s="1"/>
  <c r="Q90" i="46" s="1"/>
  <c r="R90" i="46" s="1"/>
  <c r="S90" i="46" s="1"/>
  <c r="T90" i="46" s="1"/>
  <c r="U90" i="46" s="1"/>
  <c r="V90" i="46" s="1"/>
  <c r="W90" i="46" s="1"/>
  <c r="X90" i="46" s="1"/>
  <c r="Y90" i="46" s="1"/>
  <c r="Z90" i="46" s="1"/>
  <c r="AA90" i="46" s="1"/>
  <c r="AB90" i="46" s="1"/>
  <c r="AC90" i="46" s="1"/>
  <c r="AD90" i="46" s="1"/>
  <c r="AE90" i="46" s="1"/>
  <c r="AF90" i="46" s="1"/>
  <c r="AG90" i="46" s="1"/>
  <c r="AH90" i="46" s="1"/>
  <c r="AI90" i="46" s="1"/>
  <c r="AJ90" i="46" s="1"/>
  <c r="AK90" i="46" s="1"/>
  <c r="AL90" i="46" s="1"/>
  <c r="AM90" i="46" s="1"/>
  <c r="AN90" i="46" s="1"/>
  <c r="AO90" i="46" s="1"/>
  <c r="AP90" i="46" s="1"/>
  <c r="AQ90" i="46" s="1"/>
  <c r="AR90" i="46" s="1"/>
  <c r="AS90" i="46" s="1"/>
  <c r="AT90" i="46" s="1"/>
  <c r="C65" i="71"/>
  <c r="C64" i="71"/>
  <c r="E63" i="71"/>
  <c r="B62" i="71"/>
  <c r="B64" i="71"/>
  <c r="C62" i="71"/>
  <c r="E291" i="71"/>
  <c r="B290" i="71"/>
  <c r="C281" i="71"/>
  <c r="C291" i="71" s="1"/>
  <c r="C278" i="71"/>
  <c r="C288" i="71" s="1"/>
  <c r="C298" i="71" s="1"/>
  <c r="C277" i="71"/>
  <c r="C287" i="71" s="1"/>
  <c r="C297" i="71" s="1"/>
  <c r="B277" i="71"/>
  <c r="B287" i="71" s="1"/>
  <c r="B297" i="71" s="1"/>
  <c r="C276" i="71"/>
  <c r="C286" i="71" s="1"/>
  <c r="C296" i="71" s="1"/>
  <c r="B276" i="71"/>
  <c r="B286" i="71" s="1"/>
  <c r="B296" i="71" s="1"/>
  <c r="C275" i="71"/>
  <c r="C285" i="71" s="1"/>
  <c r="C295" i="71" s="1"/>
  <c r="B275" i="71"/>
  <c r="B285" i="71" s="1"/>
  <c r="B295" i="71" s="1"/>
  <c r="C274" i="71"/>
  <c r="C284" i="71" s="1"/>
  <c r="C294" i="71" s="1"/>
  <c r="B274" i="71"/>
  <c r="B284" i="71" s="1"/>
  <c r="B294" i="71" s="1"/>
  <c r="C273" i="71"/>
  <c r="C283" i="71" s="1"/>
  <c r="C293" i="71" s="1"/>
  <c r="B273" i="71"/>
  <c r="B283" i="71" s="1"/>
  <c r="B293" i="71" s="1"/>
  <c r="C272" i="71"/>
  <c r="C282" i="71" s="1"/>
  <c r="C292" i="71" s="1"/>
  <c r="B272" i="71"/>
  <c r="B282" i="71" s="1"/>
  <c r="B292" i="71" s="1"/>
  <c r="C270" i="71"/>
  <c r="C280" i="71" s="1"/>
  <c r="C290" i="71" s="1"/>
  <c r="B270" i="71"/>
  <c r="D261" i="71"/>
  <c r="D281" i="71" s="1"/>
  <c r="C261" i="71"/>
  <c r="C271" i="71" s="1"/>
  <c r="F39" i="17" l="1"/>
  <c r="G39" i="17"/>
  <c r="H39" i="17"/>
  <c r="I39" i="17"/>
  <c r="J39" i="17"/>
  <c r="K39" i="17"/>
  <c r="L39" i="17"/>
  <c r="M39" i="17"/>
  <c r="N39" i="17"/>
  <c r="O39" i="17"/>
  <c r="P39" i="17"/>
  <c r="Q39" i="17"/>
  <c r="R39" i="17"/>
  <c r="S39" i="17"/>
  <c r="E39" i="17"/>
  <c r="H223" i="70"/>
  <c r="M223" i="70"/>
  <c r="P223" i="70"/>
  <c r="E223" i="70"/>
  <c r="B112" i="69"/>
  <c r="D19" i="4"/>
  <c r="E4" i="58"/>
  <c r="E5" i="58" s="1"/>
  <c r="E44" i="17"/>
  <c r="M12" i="17" s="1"/>
  <c r="M18" i="17" s="1"/>
  <c r="F63" i="53"/>
  <c r="G63" i="53"/>
  <c r="H63" i="53"/>
  <c r="I63" i="53"/>
  <c r="J63" i="53"/>
  <c r="K63" i="53"/>
  <c r="L63" i="53"/>
  <c r="M63" i="53"/>
  <c r="N63" i="53"/>
  <c r="O63" i="53"/>
  <c r="P63" i="53"/>
  <c r="Q63" i="53"/>
  <c r="R63" i="53"/>
  <c r="S63" i="53"/>
  <c r="F64" i="53"/>
  <c r="G64" i="53"/>
  <c r="H64" i="53"/>
  <c r="I64" i="53"/>
  <c r="J64" i="53"/>
  <c r="K64" i="53"/>
  <c r="L64" i="53"/>
  <c r="M64" i="53"/>
  <c r="N64" i="53"/>
  <c r="O64" i="53"/>
  <c r="P64" i="53"/>
  <c r="Q64" i="53"/>
  <c r="R64" i="53"/>
  <c r="S64" i="53"/>
  <c r="F65" i="53"/>
  <c r="G65" i="53"/>
  <c r="H65" i="53"/>
  <c r="I65" i="53"/>
  <c r="J65" i="53"/>
  <c r="K65" i="53"/>
  <c r="L65" i="53"/>
  <c r="M65" i="53"/>
  <c r="N65" i="53"/>
  <c r="O65" i="53"/>
  <c r="P65" i="53"/>
  <c r="Q65" i="53"/>
  <c r="R65" i="53"/>
  <c r="S65" i="53"/>
  <c r="F66" i="53"/>
  <c r="G66" i="53"/>
  <c r="H66" i="53"/>
  <c r="I66" i="53"/>
  <c r="J66" i="53"/>
  <c r="K66" i="53"/>
  <c r="L66" i="53"/>
  <c r="M66" i="53"/>
  <c r="N66" i="53"/>
  <c r="O66" i="53"/>
  <c r="P66" i="53"/>
  <c r="Q66" i="53"/>
  <c r="R66" i="53"/>
  <c r="S66" i="53"/>
  <c r="E64" i="53"/>
  <c r="E65" i="53"/>
  <c r="E66" i="53"/>
  <c r="E63" i="53"/>
  <c r="F218" i="56"/>
  <c r="G218" i="56"/>
  <c r="H218" i="56"/>
  <c r="J218" i="56"/>
  <c r="M218" i="56"/>
  <c r="N217" i="56"/>
  <c r="O218" i="56"/>
  <c r="P217" i="56"/>
  <c r="Q217" i="56"/>
  <c r="R217" i="56"/>
  <c r="E218" i="56"/>
  <c r="H192" i="56"/>
  <c r="I191" i="56"/>
  <c r="M192" i="56"/>
  <c r="P191" i="56"/>
  <c r="Q191" i="56"/>
  <c r="F178" i="56"/>
  <c r="G191" i="56"/>
  <c r="H178" i="56"/>
  <c r="K178" i="56"/>
  <c r="M178" i="56"/>
  <c r="N178" i="56"/>
  <c r="O191" i="56"/>
  <c r="P178" i="56"/>
  <c r="S178" i="56"/>
  <c r="E178" i="56"/>
  <c r="F32" i="53"/>
  <c r="G32" i="53"/>
  <c r="H32" i="53"/>
  <c r="I32" i="53"/>
  <c r="J32" i="53"/>
  <c r="K32" i="53"/>
  <c r="L32" i="53"/>
  <c r="M32" i="53"/>
  <c r="N32" i="53"/>
  <c r="O32" i="53"/>
  <c r="P32" i="53"/>
  <c r="Q32" i="53"/>
  <c r="R32" i="53"/>
  <c r="S32" i="53"/>
  <c r="E32" i="53"/>
  <c r="F24" i="53"/>
  <c r="G24" i="53"/>
  <c r="H24" i="53"/>
  <c r="I24" i="53"/>
  <c r="J24" i="53"/>
  <c r="K24" i="53"/>
  <c r="L24" i="53"/>
  <c r="M24" i="53"/>
  <c r="N24" i="53"/>
  <c r="O24" i="53"/>
  <c r="P24" i="53"/>
  <c r="Q24" i="53"/>
  <c r="R24" i="53"/>
  <c r="S24" i="53"/>
  <c r="E24" i="53"/>
  <c r="D21" i="53"/>
  <c r="D22" i="53"/>
  <c r="D23" i="53"/>
  <c r="D20" i="53"/>
  <c r="F16" i="53"/>
  <c r="G16" i="53"/>
  <c r="H16" i="53"/>
  <c r="I16" i="53"/>
  <c r="J16" i="53"/>
  <c r="K16" i="53"/>
  <c r="L16" i="53"/>
  <c r="M16" i="53"/>
  <c r="N16" i="53"/>
  <c r="O16" i="53"/>
  <c r="P16" i="53"/>
  <c r="Q16" i="53"/>
  <c r="R16" i="53"/>
  <c r="S16" i="53"/>
  <c r="E16" i="53"/>
  <c r="F8" i="53"/>
  <c r="G8" i="53"/>
  <c r="H8" i="53"/>
  <c r="I8" i="53"/>
  <c r="J8" i="53"/>
  <c r="K8" i="53"/>
  <c r="L8" i="53"/>
  <c r="M8" i="53"/>
  <c r="N8" i="53"/>
  <c r="O8" i="53"/>
  <c r="P8" i="53"/>
  <c r="Q8" i="53"/>
  <c r="R8" i="53"/>
  <c r="S8" i="53"/>
  <c r="E8" i="53"/>
  <c r="D5" i="53"/>
  <c r="D6" i="53"/>
  <c r="D7" i="53"/>
  <c r="D4" i="53"/>
  <c r="E12" i="58"/>
  <c r="C24" i="58"/>
  <c r="C25" i="58"/>
  <c r="C26" i="58"/>
  <c r="C27" i="58"/>
  <c r="B27" i="63"/>
  <c r="B10" i="63"/>
  <c r="F241" i="70"/>
  <c r="G241" i="70"/>
  <c r="H241" i="70"/>
  <c r="I241" i="70"/>
  <c r="J241" i="70"/>
  <c r="K241" i="70"/>
  <c r="L241" i="70"/>
  <c r="M241" i="70"/>
  <c r="N241" i="70"/>
  <c r="O241" i="70"/>
  <c r="P241" i="70"/>
  <c r="Q241" i="70"/>
  <c r="R241" i="70"/>
  <c r="S241" i="70"/>
  <c r="F242" i="70"/>
  <c r="G242" i="70"/>
  <c r="H242" i="70"/>
  <c r="I242" i="70"/>
  <c r="J242" i="70"/>
  <c r="K242" i="70"/>
  <c r="L242" i="70"/>
  <c r="M242" i="70"/>
  <c r="N242" i="70"/>
  <c r="O242" i="70"/>
  <c r="P242" i="70"/>
  <c r="Q242" i="70"/>
  <c r="R242" i="70"/>
  <c r="S242" i="70"/>
  <c r="F243" i="70"/>
  <c r="G243" i="70"/>
  <c r="H243" i="70"/>
  <c r="I243" i="70"/>
  <c r="J243" i="70"/>
  <c r="K243" i="70"/>
  <c r="L243" i="70"/>
  <c r="M243" i="70"/>
  <c r="N243" i="70"/>
  <c r="O243" i="70"/>
  <c r="P243" i="70"/>
  <c r="Q243" i="70"/>
  <c r="R243" i="70"/>
  <c r="S243" i="70"/>
  <c r="F244" i="70"/>
  <c r="G244" i="70"/>
  <c r="H244" i="70"/>
  <c r="I244" i="70"/>
  <c r="J244" i="70"/>
  <c r="K244" i="70"/>
  <c r="L244" i="70"/>
  <c r="M244" i="70"/>
  <c r="N244" i="70"/>
  <c r="O244" i="70"/>
  <c r="P244" i="70"/>
  <c r="Q244" i="70"/>
  <c r="R244" i="70"/>
  <c r="S244" i="70"/>
  <c r="F245" i="70"/>
  <c r="G245" i="70"/>
  <c r="H245" i="70"/>
  <c r="I245" i="70"/>
  <c r="J245" i="70"/>
  <c r="K245" i="70"/>
  <c r="L245" i="70"/>
  <c r="M245" i="70"/>
  <c r="N245" i="70"/>
  <c r="O245" i="70"/>
  <c r="P245" i="70"/>
  <c r="Q245" i="70"/>
  <c r="R245" i="70"/>
  <c r="S245" i="70"/>
  <c r="E242" i="70"/>
  <c r="E243" i="70"/>
  <c r="E244" i="70"/>
  <c r="E245" i="70"/>
  <c r="E241" i="70"/>
  <c r="F231" i="70"/>
  <c r="G231" i="70"/>
  <c r="H231" i="70"/>
  <c r="I231" i="70"/>
  <c r="J231" i="70"/>
  <c r="K231" i="70"/>
  <c r="L231" i="70"/>
  <c r="M231" i="70"/>
  <c r="N231" i="70"/>
  <c r="O231" i="70"/>
  <c r="P231" i="70"/>
  <c r="Q231" i="70"/>
  <c r="R231" i="70"/>
  <c r="S231" i="70"/>
  <c r="F232" i="70"/>
  <c r="G232" i="70"/>
  <c r="H232" i="70"/>
  <c r="I232" i="70"/>
  <c r="J232" i="70"/>
  <c r="K232" i="70"/>
  <c r="L232" i="70"/>
  <c r="M232" i="70"/>
  <c r="N232" i="70"/>
  <c r="O232" i="70"/>
  <c r="P232" i="70"/>
  <c r="Q232" i="70"/>
  <c r="R232" i="70"/>
  <c r="S232" i="70"/>
  <c r="F233" i="70"/>
  <c r="G233" i="70"/>
  <c r="H233" i="70"/>
  <c r="I233" i="70"/>
  <c r="J233" i="70"/>
  <c r="K233" i="70"/>
  <c r="L233" i="70"/>
  <c r="M233" i="70"/>
  <c r="N233" i="70"/>
  <c r="O233" i="70"/>
  <c r="P233" i="70"/>
  <c r="Q233" i="70"/>
  <c r="R233" i="70"/>
  <c r="S233" i="70"/>
  <c r="F234" i="70"/>
  <c r="G234" i="70"/>
  <c r="H234" i="70"/>
  <c r="I234" i="70"/>
  <c r="J234" i="70"/>
  <c r="K234" i="70"/>
  <c r="L234" i="70"/>
  <c r="M234" i="70"/>
  <c r="N234" i="70"/>
  <c r="O234" i="70"/>
  <c r="P234" i="70"/>
  <c r="Q234" i="70"/>
  <c r="R234" i="70"/>
  <c r="S234" i="70"/>
  <c r="F235" i="70"/>
  <c r="G235" i="70"/>
  <c r="H235" i="70"/>
  <c r="I235" i="70"/>
  <c r="J235" i="70"/>
  <c r="K235" i="70"/>
  <c r="L235" i="70"/>
  <c r="M235" i="70"/>
  <c r="N235" i="70"/>
  <c r="O235" i="70"/>
  <c r="P235" i="70"/>
  <c r="Q235" i="70"/>
  <c r="R235" i="70"/>
  <c r="S235" i="70"/>
  <c r="E232" i="70"/>
  <c r="E233" i="70"/>
  <c r="E234" i="70"/>
  <c r="E235" i="70"/>
  <c r="E231" i="70"/>
  <c r="F221" i="70"/>
  <c r="G221" i="70"/>
  <c r="H221" i="70"/>
  <c r="I221" i="70"/>
  <c r="J221" i="70"/>
  <c r="K221" i="70"/>
  <c r="L221" i="70"/>
  <c r="M221" i="70"/>
  <c r="N221" i="70"/>
  <c r="O221" i="70"/>
  <c r="P221" i="70"/>
  <c r="Q221" i="70"/>
  <c r="R221" i="70"/>
  <c r="S221" i="70"/>
  <c r="F222" i="70"/>
  <c r="G222" i="70"/>
  <c r="H222" i="70"/>
  <c r="I222" i="70"/>
  <c r="J222" i="70"/>
  <c r="K222" i="70"/>
  <c r="L222" i="70"/>
  <c r="M222" i="70"/>
  <c r="N222" i="70"/>
  <c r="O222" i="70"/>
  <c r="P222" i="70"/>
  <c r="Q222" i="70"/>
  <c r="R222" i="70"/>
  <c r="S222" i="70"/>
  <c r="F223" i="70"/>
  <c r="G223" i="70"/>
  <c r="I223" i="70"/>
  <c r="J223" i="70"/>
  <c r="K223" i="70"/>
  <c r="L223" i="70"/>
  <c r="N223" i="70"/>
  <c r="O223" i="70"/>
  <c r="Q223" i="70"/>
  <c r="R223" i="70"/>
  <c r="S223" i="70"/>
  <c r="F224" i="70"/>
  <c r="G224" i="70"/>
  <c r="H224" i="70"/>
  <c r="I224" i="70"/>
  <c r="J224" i="70"/>
  <c r="K224" i="70"/>
  <c r="L224" i="70"/>
  <c r="M224" i="70"/>
  <c r="N224" i="70"/>
  <c r="O224" i="70"/>
  <c r="P224" i="70"/>
  <c r="Q224" i="70"/>
  <c r="R224" i="70"/>
  <c r="S224" i="70"/>
  <c r="F225" i="70"/>
  <c r="G225" i="70"/>
  <c r="H225" i="70"/>
  <c r="I225" i="70"/>
  <c r="J225" i="70"/>
  <c r="K225" i="70"/>
  <c r="L225" i="70"/>
  <c r="M225" i="70"/>
  <c r="N225" i="70"/>
  <c r="O225" i="70"/>
  <c r="P225" i="70"/>
  <c r="Q225" i="70"/>
  <c r="R225" i="70"/>
  <c r="S225" i="70"/>
  <c r="E222" i="70"/>
  <c r="E224" i="70"/>
  <c r="E225" i="70"/>
  <c r="E221" i="70"/>
  <c r="F211" i="70"/>
  <c r="G211" i="70"/>
  <c r="H211" i="70"/>
  <c r="I211" i="70"/>
  <c r="J211" i="70"/>
  <c r="K211" i="70"/>
  <c r="L211" i="70"/>
  <c r="M211" i="70"/>
  <c r="N211" i="70"/>
  <c r="O211" i="70"/>
  <c r="P211" i="70"/>
  <c r="Q211" i="70"/>
  <c r="R211" i="70"/>
  <c r="S211" i="70"/>
  <c r="F212" i="70"/>
  <c r="G212" i="70"/>
  <c r="H212" i="70"/>
  <c r="I212" i="70"/>
  <c r="J212" i="70"/>
  <c r="K212" i="70"/>
  <c r="L212" i="70"/>
  <c r="M212" i="70"/>
  <c r="N212" i="70"/>
  <c r="O212" i="70"/>
  <c r="P212" i="70"/>
  <c r="Q212" i="70"/>
  <c r="R212" i="70"/>
  <c r="S212" i="70"/>
  <c r="F213" i="70"/>
  <c r="G213" i="70"/>
  <c r="H213" i="70"/>
  <c r="I213" i="70"/>
  <c r="J213" i="70"/>
  <c r="K213" i="70"/>
  <c r="L213" i="70"/>
  <c r="M213" i="70"/>
  <c r="N213" i="70"/>
  <c r="O213" i="70"/>
  <c r="P213" i="70"/>
  <c r="Q213" i="70"/>
  <c r="R213" i="70"/>
  <c r="S213" i="70"/>
  <c r="F214" i="70"/>
  <c r="G214" i="70"/>
  <c r="H214" i="70"/>
  <c r="I214" i="70"/>
  <c r="J214" i="70"/>
  <c r="K214" i="70"/>
  <c r="L214" i="70"/>
  <c r="M214" i="70"/>
  <c r="N214" i="70"/>
  <c r="O214" i="70"/>
  <c r="P214" i="70"/>
  <c r="Q214" i="70"/>
  <c r="R214" i="70"/>
  <c r="S214" i="70"/>
  <c r="F215" i="70"/>
  <c r="G215" i="70"/>
  <c r="H215" i="70"/>
  <c r="I215" i="70"/>
  <c r="J215" i="70"/>
  <c r="K215" i="70"/>
  <c r="L215" i="70"/>
  <c r="M215" i="70"/>
  <c r="N215" i="70"/>
  <c r="O215" i="70"/>
  <c r="P215" i="70"/>
  <c r="Q215" i="70"/>
  <c r="R215" i="70"/>
  <c r="S215" i="70"/>
  <c r="E212" i="70"/>
  <c r="E213" i="70"/>
  <c r="E214" i="70"/>
  <c r="E215" i="70"/>
  <c r="E211" i="70"/>
  <c r="I217" i="56"/>
  <c r="J217" i="56"/>
  <c r="K217" i="56"/>
  <c r="L217" i="56"/>
  <c r="S217" i="56"/>
  <c r="I218" i="56"/>
  <c r="K218" i="56"/>
  <c r="L218" i="56"/>
  <c r="P218" i="56"/>
  <c r="Q218" i="56"/>
  <c r="R218" i="56"/>
  <c r="S218" i="56"/>
  <c r="F219" i="56"/>
  <c r="G219" i="56"/>
  <c r="H219" i="56"/>
  <c r="I219" i="56"/>
  <c r="J219" i="56"/>
  <c r="K219" i="56"/>
  <c r="L219" i="56"/>
  <c r="M219" i="56"/>
  <c r="N219" i="56"/>
  <c r="O219" i="56"/>
  <c r="P219" i="56"/>
  <c r="Q219" i="56"/>
  <c r="R219" i="56"/>
  <c r="S219" i="56"/>
  <c r="F220" i="56"/>
  <c r="G220" i="56"/>
  <c r="H220" i="56"/>
  <c r="I220" i="56"/>
  <c r="J220" i="56"/>
  <c r="K220" i="56"/>
  <c r="L220" i="56"/>
  <c r="M220" i="56"/>
  <c r="N220" i="56"/>
  <c r="O220" i="56"/>
  <c r="P220" i="56"/>
  <c r="Q220" i="56"/>
  <c r="R220" i="56"/>
  <c r="S220" i="56"/>
  <c r="F221" i="56"/>
  <c r="G221" i="56"/>
  <c r="H221" i="56"/>
  <c r="I221" i="56"/>
  <c r="J221" i="56"/>
  <c r="K221" i="56"/>
  <c r="L221" i="56"/>
  <c r="M221" i="56"/>
  <c r="N221" i="56"/>
  <c r="O221" i="56"/>
  <c r="P221" i="56"/>
  <c r="Q221" i="56"/>
  <c r="R221" i="56"/>
  <c r="S221" i="56"/>
  <c r="F222" i="56"/>
  <c r="G222" i="56"/>
  <c r="H222" i="56"/>
  <c r="I222" i="56"/>
  <c r="J222" i="56"/>
  <c r="K222" i="56"/>
  <c r="L222" i="56"/>
  <c r="M222" i="56"/>
  <c r="N222" i="56"/>
  <c r="O222" i="56"/>
  <c r="P222" i="56"/>
  <c r="Q222" i="56"/>
  <c r="R222" i="56"/>
  <c r="S222" i="56"/>
  <c r="F223" i="56"/>
  <c r="G223" i="56"/>
  <c r="H223" i="56"/>
  <c r="I223" i="56"/>
  <c r="J223" i="56"/>
  <c r="K223" i="56"/>
  <c r="L223" i="56"/>
  <c r="M223" i="56"/>
  <c r="N223" i="56"/>
  <c r="O223" i="56"/>
  <c r="P223" i="56"/>
  <c r="Q223" i="56"/>
  <c r="R223" i="56"/>
  <c r="S223" i="56"/>
  <c r="F224" i="56"/>
  <c r="G224" i="56"/>
  <c r="H224" i="56"/>
  <c r="I224" i="56"/>
  <c r="J224" i="56"/>
  <c r="K224" i="56"/>
  <c r="L224" i="56"/>
  <c r="M224" i="56"/>
  <c r="N224" i="56"/>
  <c r="O224" i="56"/>
  <c r="P224" i="56"/>
  <c r="Q224" i="56"/>
  <c r="R224" i="56"/>
  <c r="S224" i="56"/>
  <c r="F225" i="56"/>
  <c r="G225" i="56"/>
  <c r="H225" i="56"/>
  <c r="I225" i="56"/>
  <c r="J225" i="56"/>
  <c r="K225" i="56"/>
  <c r="L225" i="56"/>
  <c r="M225" i="56"/>
  <c r="N225" i="56"/>
  <c r="O225" i="56"/>
  <c r="P225" i="56"/>
  <c r="Q225" i="56"/>
  <c r="R225" i="56"/>
  <c r="S225" i="56"/>
  <c r="F226" i="56"/>
  <c r="G226" i="56"/>
  <c r="H226" i="56"/>
  <c r="I226" i="56"/>
  <c r="J226" i="56"/>
  <c r="K226" i="56"/>
  <c r="L226" i="56"/>
  <c r="M226" i="56"/>
  <c r="N226" i="56"/>
  <c r="O226" i="56"/>
  <c r="P226" i="56"/>
  <c r="Q226" i="56"/>
  <c r="R226" i="56"/>
  <c r="S226" i="56"/>
  <c r="E226" i="56"/>
  <c r="E225" i="56"/>
  <c r="E224" i="56"/>
  <c r="E223" i="56"/>
  <c r="E222" i="56"/>
  <c r="E221" i="56"/>
  <c r="E220" i="56"/>
  <c r="E219" i="56"/>
  <c r="F203" i="56"/>
  <c r="G203" i="56"/>
  <c r="H203" i="56"/>
  <c r="I203" i="56"/>
  <c r="J203" i="56"/>
  <c r="K203" i="56"/>
  <c r="L203" i="56"/>
  <c r="M203" i="56"/>
  <c r="N203" i="56"/>
  <c r="O203" i="56"/>
  <c r="P203" i="56"/>
  <c r="Q203" i="56"/>
  <c r="R203" i="56"/>
  <c r="S203" i="56"/>
  <c r="F204" i="56"/>
  <c r="G204" i="56"/>
  <c r="H204" i="56"/>
  <c r="I204" i="56"/>
  <c r="J204" i="56"/>
  <c r="K204" i="56"/>
  <c r="L204" i="56"/>
  <c r="M204" i="56"/>
  <c r="N204" i="56"/>
  <c r="O204" i="56"/>
  <c r="P204" i="56"/>
  <c r="Q204" i="56"/>
  <c r="R204" i="56"/>
  <c r="S204" i="56"/>
  <c r="F205" i="56"/>
  <c r="G205" i="56"/>
  <c r="H205" i="56"/>
  <c r="I205" i="56"/>
  <c r="J205" i="56"/>
  <c r="K205" i="56"/>
  <c r="L205" i="56"/>
  <c r="M205" i="56"/>
  <c r="N205" i="56"/>
  <c r="O205" i="56"/>
  <c r="P205" i="56"/>
  <c r="Q205" i="56"/>
  <c r="R205" i="56"/>
  <c r="S205" i="56"/>
  <c r="F206" i="56"/>
  <c r="G206" i="56"/>
  <c r="H206" i="56"/>
  <c r="I206" i="56"/>
  <c r="J206" i="56"/>
  <c r="K206" i="56"/>
  <c r="L206" i="56"/>
  <c r="M206" i="56"/>
  <c r="N206" i="56"/>
  <c r="O206" i="56"/>
  <c r="P206" i="56"/>
  <c r="Q206" i="56"/>
  <c r="R206" i="56"/>
  <c r="S206" i="56"/>
  <c r="F207" i="56"/>
  <c r="G207" i="56"/>
  <c r="H207" i="56"/>
  <c r="I207" i="56"/>
  <c r="J207" i="56"/>
  <c r="K207" i="56"/>
  <c r="L207" i="56"/>
  <c r="M207" i="56"/>
  <c r="N207" i="56"/>
  <c r="O207" i="56"/>
  <c r="P207" i="56"/>
  <c r="Q207" i="56"/>
  <c r="R207" i="56"/>
  <c r="S207" i="56"/>
  <c r="F208" i="56"/>
  <c r="G208" i="56"/>
  <c r="H208" i="56"/>
  <c r="I208" i="56"/>
  <c r="J208" i="56"/>
  <c r="K208" i="56"/>
  <c r="L208" i="56"/>
  <c r="M208" i="56"/>
  <c r="N208" i="56"/>
  <c r="O208" i="56"/>
  <c r="P208" i="56"/>
  <c r="Q208" i="56"/>
  <c r="R208" i="56"/>
  <c r="S208" i="56"/>
  <c r="F209" i="56"/>
  <c r="G209" i="56"/>
  <c r="H209" i="56"/>
  <c r="I209" i="56"/>
  <c r="J209" i="56"/>
  <c r="K209" i="56"/>
  <c r="L209" i="56"/>
  <c r="M209" i="56"/>
  <c r="N209" i="56"/>
  <c r="O209" i="56"/>
  <c r="P209" i="56"/>
  <c r="Q209" i="56"/>
  <c r="R209" i="56"/>
  <c r="S209" i="56"/>
  <c r="F210" i="56"/>
  <c r="G210" i="56"/>
  <c r="H210" i="56"/>
  <c r="I210" i="56"/>
  <c r="J210" i="56"/>
  <c r="K210" i="56"/>
  <c r="L210" i="56"/>
  <c r="M210" i="56"/>
  <c r="N210" i="56"/>
  <c r="O210" i="56"/>
  <c r="P210" i="56"/>
  <c r="Q210" i="56"/>
  <c r="R210" i="56"/>
  <c r="S210" i="56"/>
  <c r="F211" i="56"/>
  <c r="G211" i="56"/>
  <c r="H211" i="56"/>
  <c r="I211" i="56"/>
  <c r="J211" i="56"/>
  <c r="K211" i="56"/>
  <c r="L211" i="56"/>
  <c r="M211" i="56"/>
  <c r="N211" i="56"/>
  <c r="O211" i="56"/>
  <c r="P211" i="56"/>
  <c r="Q211" i="56"/>
  <c r="R211" i="56"/>
  <c r="S211" i="56"/>
  <c r="F212" i="56"/>
  <c r="G212" i="56"/>
  <c r="H212" i="56"/>
  <c r="I212" i="56"/>
  <c r="J212" i="56"/>
  <c r="K212" i="56"/>
  <c r="L212" i="56"/>
  <c r="M212" i="56"/>
  <c r="N212" i="56"/>
  <c r="O212" i="56"/>
  <c r="P212" i="56"/>
  <c r="Q212" i="56"/>
  <c r="R212" i="56"/>
  <c r="S212" i="56"/>
  <c r="E212" i="56"/>
  <c r="E211" i="56"/>
  <c r="E210" i="56"/>
  <c r="E209" i="56"/>
  <c r="E208" i="56"/>
  <c r="E207" i="56"/>
  <c r="E206" i="56"/>
  <c r="E205" i="56"/>
  <c r="E204" i="56"/>
  <c r="E203" i="56"/>
  <c r="F189" i="56"/>
  <c r="G189" i="56"/>
  <c r="H189" i="56"/>
  <c r="I189" i="56"/>
  <c r="J189" i="56"/>
  <c r="K189" i="56"/>
  <c r="L189" i="56"/>
  <c r="M189" i="56"/>
  <c r="N189" i="56"/>
  <c r="O189" i="56"/>
  <c r="P189" i="56"/>
  <c r="Q189" i="56"/>
  <c r="R189" i="56"/>
  <c r="S189" i="56"/>
  <c r="F190" i="56"/>
  <c r="G190" i="56"/>
  <c r="H190" i="56"/>
  <c r="I190" i="56"/>
  <c r="J190" i="56"/>
  <c r="K190" i="56"/>
  <c r="L190" i="56"/>
  <c r="M190" i="56"/>
  <c r="N190" i="56"/>
  <c r="O190" i="56"/>
  <c r="P190" i="56"/>
  <c r="Q190" i="56"/>
  <c r="R190" i="56"/>
  <c r="S190" i="56"/>
  <c r="P192" i="56"/>
  <c r="Q192" i="56"/>
  <c r="F193" i="56"/>
  <c r="G193" i="56"/>
  <c r="H193" i="56"/>
  <c r="I193" i="56"/>
  <c r="J193" i="56"/>
  <c r="K193" i="56"/>
  <c r="L193" i="56"/>
  <c r="M193" i="56"/>
  <c r="N193" i="56"/>
  <c r="O193" i="56"/>
  <c r="P193" i="56"/>
  <c r="Q193" i="56"/>
  <c r="R193" i="56"/>
  <c r="S193" i="56"/>
  <c r="F194" i="56"/>
  <c r="G194" i="56"/>
  <c r="H194" i="56"/>
  <c r="I194" i="56"/>
  <c r="J194" i="56"/>
  <c r="K194" i="56"/>
  <c r="L194" i="56"/>
  <c r="M194" i="56"/>
  <c r="N194" i="56"/>
  <c r="O194" i="56"/>
  <c r="P194" i="56"/>
  <c r="Q194" i="56"/>
  <c r="R194" i="56"/>
  <c r="S194" i="56"/>
  <c r="F195" i="56"/>
  <c r="G195" i="56"/>
  <c r="H195" i="56"/>
  <c r="I195" i="56"/>
  <c r="J195" i="56"/>
  <c r="K195" i="56"/>
  <c r="L195" i="56"/>
  <c r="M195" i="56"/>
  <c r="N195" i="56"/>
  <c r="O195" i="56"/>
  <c r="P195" i="56"/>
  <c r="Q195" i="56"/>
  <c r="R195" i="56"/>
  <c r="S195" i="56"/>
  <c r="F196" i="56"/>
  <c r="G196" i="56"/>
  <c r="H196" i="56"/>
  <c r="I196" i="56"/>
  <c r="J196" i="56"/>
  <c r="K196" i="56"/>
  <c r="L196" i="56"/>
  <c r="M196" i="56"/>
  <c r="N196" i="56"/>
  <c r="O196" i="56"/>
  <c r="P196" i="56"/>
  <c r="Q196" i="56"/>
  <c r="R196" i="56"/>
  <c r="S196" i="56"/>
  <c r="F197" i="56"/>
  <c r="G197" i="56"/>
  <c r="H197" i="56"/>
  <c r="I197" i="56"/>
  <c r="J197" i="56"/>
  <c r="K197" i="56"/>
  <c r="L197" i="56"/>
  <c r="M197" i="56"/>
  <c r="N197" i="56"/>
  <c r="O197" i="56"/>
  <c r="P197" i="56"/>
  <c r="Q197" i="56"/>
  <c r="R197" i="56"/>
  <c r="S197" i="56"/>
  <c r="F198" i="56"/>
  <c r="G198" i="56"/>
  <c r="H198" i="56"/>
  <c r="I198" i="56"/>
  <c r="J198" i="56"/>
  <c r="K198" i="56"/>
  <c r="L198" i="56"/>
  <c r="M198" i="56"/>
  <c r="N198" i="56"/>
  <c r="O198" i="56"/>
  <c r="P198" i="56"/>
  <c r="Q198" i="56"/>
  <c r="R198" i="56"/>
  <c r="S198" i="56"/>
  <c r="E198" i="56"/>
  <c r="E197" i="56"/>
  <c r="E196" i="56"/>
  <c r="E195" i="56"/>
  <c r="E194" i="56"/>
  <c r="E193" i="56"/>
  <c r="E190" i="56"/>
  <c r="E189" i="56"/>
  <c r="F175" i="56"/>
  <c r="G175" i="56"/>
  <c r="H175" i="56"/>
  <c r="I175" i="56"/>
  <c r="J175" i="56"/>
  <c r="K175" i="56"/>
  <c r="L175" i="56"/>
  <c r="M175" i="56"/>
  <c r="N175" i="56"/>
  <c r="O175" i="56"/>
  <c r="P175" i="56"/>
  <c r="Q175" i="56"/>
  <c r="R175" i="56"/>
  <c r="S175" i="56"/>
  <c r="F176" i="56"/>
  <c r="G176" i="56"/>
  <c r="H176" i="56"/>
  <c r="I176" i="56"/>
  <c r="J176" i="56"/>
  <c r="K176" i="56"/>
  <c r="L176" i="56"/>
  <c r="M176" i="56"/>
  <c r="N176" i="56"/>
  <c r="O176" i="56"/>
  <c r="P176" i="56"/>
  <c r="Q176" i="56"/>
  <c r="R176" i="56"/>
  <c r="S176" i="56"/>
  <c r="G177" i="56"/>
  <c r="H177" i="56"/>
  <c r="I177" i="56"/>
  <c r="L177" i="56"/>
  <c r="M177" i="56"/>
  <c r="O177" i="56"/>
  <c r="P177" i="56"/>
  <c r="Q177" i="56"/>
  <c r="G178" i="56"/>
  <c r="I178" i="56"/>
  <c r="J178" i="56"/>
  <c r="L178" i="56"/>
  <c r="O178" i="56"/>
  <c r="Q178" i="56"/>
  <c r="F179" i="56"/>
  <c r="G179" i="56"/>
  <c r="H179" i="56"/>
  <c r="I179" i="56"/>
  <c r="J179" i="56"/>
  <c r="K179" i="56"/>
  <c r="L179" i="56"/>
  <c r="M179" i="56"/>
  <c r="N179" i="56"/>
  <c r="O179" i="56"/>
  <c r="P179" i="56"/>
  <c r="Q179" i="56"/>
  <c r="R179" i="56"/>
  <c r="S179" i="56"/>
  <c r="F180" i="56"/>
  <c r="G180" i="56"/>
  <c r="H180" i="56"/>
  <c r="I180" i="56"/>
  <c r="J180" i="56"/>
  <c r="K180" i="56"/>
  <c r="L180" i="56"/>
  <c r="M180" i="56"/>
  <c r="N180" i="56"/>
  <c r="O180" i="56"/>
  <c r="P180" i="56"/>
  <c r="Q180" i="56"/>
  <c r="R180" i="56"/>
  <c r="S180" i="56"/>
  <c r="F181" i="56"/>
  <c r="G181" i="56"/>
  <c r="H181" i="56"/>
  <c r="I181" i="56"/>
  <c r="J181" i="56"/>
  <c r="K181" i="56"/>
  <c r="L181" i="56"/>
  <c r="M181" i="56"/>
  <c r="N181" i="56"/>
  <c r="O181" i="56"/>
  <c r="P181" i="56"/>
  <c r="Q181" i="56"/>
  <c r="R181" i="56"/>
  <c r="S181" i="56"/>
  <c r="F182" i="56"/>
  <c r="G182" i="56"/>
  <c r="H182" i="56"/>
  <c r="I182" i="56"/>
  <c r="J182" i="56"/>
  <c r="K182" i="56"/>
  <c r="L182" i="56"/>
  <c r="M182" i="56"/>
  <c r="N182" i="56"/>
  <c r="O182" i="56"/>
  <c r="P182" i="56"/>
  <c r="Q182" i="56"/>
  <c r="R182" i="56"/>
  <c r="S182" i="56"/>
  <c r="F183" i="56"/>
  <c r="G183" i="56"/>
  <c r="H183" i="56"/>
  <c r="I183" i="56"/>
  <c r="J183" i="56"/>
  <c r="K183" i="56"/>
  <c r="L183" i="56"/>
  <c r="M183" i="56"/>
  <c r="N183" i="56"/>
  <c r="O183" i="56"/>
  <c r="P183" i="56"/>
  <c r="Q183" i="56"/>
  <c r="R183" i="56"/>
  <c r="S183" i="56"/>
  <c r="F184" i="56"/>
  <c r="G184" i="56"/>
  <c r="H184" i="56"/>
  <c r="I184" i="56"/>
  <c r="J184" i="56"/>
  <c r="K184" i="56"/>
  <c r="L184" i="56"/>
  <c r="M184" i="56"/>
  <c r="N184" i="56"/>
  <c r="O184" i="56"/>
  <c r="P184" i="56"/>
  <c r="Q184" i="56"/>
  <c r="R184" i="56"/>
  <c r="S184" i="56"/>
  <c r="E184" i="56"/>
  <c r="E182" i="56"/>
  <c r="E183" i="56"/>
  <c r="E181" i="56"/>
  <c r="E180" i="56"/>
  <c r="E179" i="56"/>
  <c r="E176" i="56"/>
  <c r="E175" i="56"/>
  <c r="E160" i="71"/>
  <c r="E161" i="71"/>
  <c r="E162" i="71"/>
  <c r="E164" i="71"/>
  <c r="D163" i="71"/>
  <c r="E163" i="71" s="1"/>
  <c r="D159" i="71"/>
  <c r="E159" i="71" s="1"/>
  <c r="I143" i="71"/>
  <c r="I140" i="71" s="1"/>
  <c r="H143" i="71"/>
  <c r="H139" i="71" s="1"/>
  <c r="G143" i="71"/>
  <c r="G139" i="71" s="1"/>
  <c r="F143" i="71"/>
  <c r="I142" i="71"/>
  <c r="H142" i="71"/>
  <c r="G142" i="71"/>
  <c r="F142" i="71"/>
  <c r="E142" i="71"/>
  <c r="E141" i="71"/>
  <c r="E140" i="71"/>
  <c r="E139" i="71"/>
  <c r="I138" i="71"/>
  <c r="H138" i="71"/>
  <c r="G138" i="71"/>
  <c r="F138" i="71"/>
  <c r="E138" i="71"/>
  <c r="C134" i="71"/>
  <c r="C133" i="71"/>
  <c r="C132" i="71"/>
  <c r="C131" i="71"/>
  <c r="D130" i="71"/>
  <c r="D129" i="71"/>
  <c r="C129" i="71"/>
  <c r="D128" i="71"/>
  <c r="D127" i="71"/>
  <c r="C127" i="71"/>
  <c r="C126" i="71"/>
  <c r="D125" i="71"/>
  <c r="D124" i="71"/>
  <c r="C124" i="71"/>
  <c r="D123" i="71"/>
  <c r="D122" i="71"/>
  <c r="D121" i="71"/>
  <c r="D120" i="71"/>
  <c r="C120" i="71"/>
  <c r="D119" i="71"/>
  <c r="D118" i="71"/>
  <c r="D117" i="71"/>
  <c r="D116" i="71"/>
  <c r="C116" i="71"/>
  <c r="D115" i="71"/>
  <c r="C115" i="71"/>
  <c r="C114" i="71"/>
  <c r="C113" i="71"/>
  <c r="C111" i="71"/>
  <c r="C110" i="71"/>
  <c r="C103" i="71"/>
  <c r="D99" i="71"/>
  <c r="C97" i="71"/>
  <c r="C93" i="71"/>
  <c r="C92" i="71"/>
  <c r="C98" i="71" s="1"/>
  <c r="C91" i="71"/>
  <c r="C85" i="71"/>
  <c r="C84" i="71"/>
  <c r="C83" i="71"/>
  <c r="C82" i="71"/>
  <c r="C81" i="71"/>
  <c r="D80" i="71"/>
  <c r="C79" i="71"/>
  <c r="C78" i="71"/>
  <c r="C77" i="71"/>
  <c r="C74" i="71"/>
  <c r="C73" i="71"/>
  <c r="E48" i="71"/>
  <c r="B47" i="71"/>
  <c r="C45" i="71"/>
  <c r="C50" i="71" s="1"/>
  <c r="C44" i="71"/>
  <c r="C49" i="71" s="1"/>
  <c r="B44" i="71"/>
  <c r="B49" i="71" s="1"/>
  <c r="C42" i="71"/>
  <c r="C47" i="71" s="1"/>
  <c r="E33" i="71"/>
  <c r="B32" i="71"/>
  <c r="C23" i="71"/>
  <c r="C33" i="71" s="1"/>
  <c r="C19" i="71"/>
  <c r="C29" i="71" s="1"/>
  <c r="C39" i="71" s="1"/>
  <c r="B19" i="71"/>
  <c r="C18" i="71"/>
  <c r="C28" i="71" s="1"/>
  <c r="C38" i="71" s="1"/>
  <c r="B18" i="71"/>
  <c r="B28" i="71" s="1"/>
  <c r="B38" i="71" s="1"/>
  <c r="C17" i="71"/>
  <c r="C27" i="71" s="1"/>
  <c r="C37" i="71" s="1"/>
  <c r="B17" i="71"/>
  <c r="B27" i="71" s="1"/>
  <c r="B37" i="71" s="1"/>
  <c r="C16" i="71"/>
  <c r="C26" i="71" s="1"/>
  <c r="C36" i="71" s="1"/>
  <c r="B16" i="71"/>
  <c r="B26" i="71" s="1"/>
  <c r="B36" i="71" s="1"/>
  <c r="C15" i="71"/>
  <c r="C25" i="71" s="1"/>
  <c r="C35" i="71" s="1"/>
  <c r="B15" i="71"/>
  <c r="B25" i="71" s="1"/>
  <c r="B35" i="71" s="1"/>
  <c r="C14" i="71"/>
  <c r="C24" i="71" s="1"/>
  <c r="C34" i="71" s="1"/>
  <c r="B14" i="71"/>
  <c r="B24" i="71" s="1"/>
  <c r="B34" i="71" s="1"/>
  <c r="C12" i="71"/>
  <c r="C22" i="71" s="1"/>
  <c r="C32" i="71" s="1"/>
  <c r="B12" i="71"/>
  <c r="C10" i="71"/>
  <c r="C20" i="71" s="1"/>
  <c r="C30" i="71" s="1"/>
  <c r="C40" i="71" s="1"/>
  <c r="D3" i="71"/>
  <c r="D23" i="71" s="1"/>
  <c r="D43" i="71" s="1"/>
  <c r="C3" i="71"/>
  <c r="C13" i="71" s="1"/>
  <c r="B59" i="70"/>
  <c r="B69" i="70" s="1"/>
  <c r="B79" i="70" s="1"/>
  <c r="C59" i="70"/>
  <c r="C69" i="70" s="1"/>
  <c r="C79" i="70" s="1"/>
  <c r="C15" i="70"/>
  <c r="C25" i="70" s="1"/>
  <c r="C35" i="70" s="1"/>
  <c r="C16" i="70"/>
  <c r="C26" i="70" s="1"/>
  <c r="C36" i="70" s="1"/>
  <c r="C17" i="70"/>
  <c r="C27" i="70" s="1"/>
  <c r="C37" i="70" s="1"/>
  <c r="C18" i="70"/>
  <c r="C28" i="70" s="1"/>
  <c r="C38" i="70" s="1"/>
  <c r="C19" i="70"/>
  <c r="C29" i="70" s="1"/>
  <c r="C39" i="70" s="1"/>
  <c r="C14" i="70"/>
  <c r="C24" i="70" s="1"/>
  <c r="C34" i="70" s="1"/>
  <c r="B12" i="70"/>
  <c r="C13" i="70"/>
  <c r="C33" i="70"/>
  <c r="D29" i="70"/>
  <c r="D9" i="70"/>
  <c r="E2" i="70"/>
  <c r="E161" i="70"/>
  <c r="E162" i="70"/>
  <c r="E160" i="70"/>
  <c r="G164" i="70"/>
  <c r="G162" i="70" s="1"/>
  <c r="E183" i="70" s="1"/>
  <c r="H164" i="70"/>
  <c r="H162" i="70" s="1"/>
  <c r="F183" i="70" s="1"/>
  <c r="I164" i="70"/>
  <c r="I162" i="70" s="1"/>
  <c r="G183" i="70" s="1"/>
  <c r="F164" i="70"/>
  <c r="F161" i="70" s="1"/>
  <c r="D182" i="70" s="1"/>
  <c r="F163" i="70"/>
  <c r="D184" i="70" s="1"/>
  <c r="G163" i="70"/>
  <c r="E184" i="70" s="1"/>
  <c r="H163" i="70"/>
  <c r="F184" i="70" s="1"/>
  <c r="I163" i="70"/>
  <c r="G184" i="70" s="1"/>
  <c r="E163" i="70"/>
  <c r="F159" i="70"/>
  <c r="D180" i="70" s="1"/>
  <c r="G159" i="70"/>
  <c r="E180" i="70" s="1"/>
  <c r="H159" i="70"/>
  <c r="F180" i="70" s="1"/>
  <c r="I159" i="70"/>
  <c r="G180" i="70" s="1"/>
  <c r="E159" i="70"/>
  <c r="C147" i="70"/>
  <c r="C145" i="70"/>
  <c r="E33" i="70"/>
  <c r="B32" i="70"/>
  <c r="C22" i="70"/>
  <c r="C32" i="70" s="1"/>
  <c r="C12" i="70"/>
  <c r="C10" i="70"/>
  <c r="D23" i="70" s="1"/>
  <c r="C30" i="70" s="1"/>
  <c r="C40" i="70" s="1"/>
  <c r="E240" i="70"/>
  <c r="B239" i="70"/>
  <c r="C230" i="70"/>
  <c r="C240" i="70" s="1"/>
  <c r="C227" i="70"/>
  <c r="C237" i="70" s="1"/>
  <c r="C247" i="70" s="1"/>
  <c r="C225" i="70"/>
  <c r="C235" i="70" s="1"/>
  <c r="C245" i="70" s="1"/>
  <c r="B225" i="70"/>
  <c r="B235" i="70" s="1"/>
  <c r="B245" i="70" s="1"/>
  <c r="C224" i="70"/>
  <c r="C234" i="70" s="1"/>
  <c r="C244" i="70" s="1"/>
  <c r="B224" i="70"/>
  <c r="B234" i="70" s="1"/>
  <c r="B244" i="70" s="1"/>
  <c r="C223" i="70"/>
  <c r="C233" i="70" s="1"/>
  <c r="C243" i="70" s="1"/>
  <c r="B223" i="70"/>
  <c r="B233" i="70" s="1"/>
  <c r="B243" i="70" s="1"/>
  <c r="C222" i="70"/>
  <c r="C232" i="70" s="1"/>
  <c r="C242" i="70" s="1"/>
  <c r="B222" i="70"/>
  <c r="B232" i="70" s="1"/>
  <c r="B242" i="70" s="1"/>
  <c r="C221" i="70"/>
  <c r="C231" i="70" s="1"/>
  <c r="C241" i="70" s="1"/>
  <c r="B221" i="70"/>
  <c r="B231" i="70" s="1"/>
  <c r="B241" i="70" s="1"/>
  <c r="C220" i="70"/>
  <c r="C219" i="70"/>
  <c r="C229" i="70" s="1"/>
  <c r="C239" i="70" s="1"/>
  <c r="B219" i="70"/>
  <c r="D210" i="70"/>
  <c r="D230" i="70" s="1"/>
  <c r="B199" i="70"/>
  <c r="B193" i="70"/>
  <c r="C191" i="70"/>
  <c r="C196" i="70" s="1"/>
  <c r="C190" i="70"/>
  <c r="C195" i="70" s="1"/>
  <c r="D189" i="70"/>
  <c r="D194" i="70" s="1"/>
  <c r="C188" i="70"/>
  <c r="C193" i="70" s="1"/>
  <c r="C155" i="70"/>
  <c r="C154" i="70"/>
  <c r="C153" i="70"/>
  <c r="C152" i="70"/>
  <c r="D151" i="70"/>
  <c r="D150" i="70"/>
  <c r="C150" i="70"/>
  <c r="D149" i="70"/>
  <c r="D148" i="70"/>
  <c r="C148" i="70"/>
  <c r="D146" i="70"/>
  <c r="D145" i="70"/>
  <c r="D144" i="70"/>
  <c r="D143" i="70"/>
  <c r="D142" i="70"/>
  <c r="D141" i="70"/>
  <c r="C141" i="70"/>
  <c r="D140" i="70"/>
  <c r="D139" i="70"/>
  <c r="D138" i="70"/>
  <c r="D137" i="70"/>
  <c r="C137" i="70"/>
  <c r="D136" i="70"/>
  <c r="C136" i="70"/>
  <c r="C135" i="70"/>
  <c r="C134" i="70"/>
  <c r="C132" i="70"/>
  <c r="C131" i="70"/>
  <c r="C130" i="70"/>
  <c r="D126" i="70"/>
  <c r="D129" i="70" s="1"/>
  <c r="C124" i="70"/>
  <c r="C119" i="70"/>
  <c r="C125" i="70" s="1"/>
  <c r="C128" i="70" s="1"/>
  <c r="C118" i="70"/>
  <c r="C112" i="70"/>
  <c r="C111" i="70"/>
  <c r="C110" i="70"/>
  <c r="C109" i="70"/>
  <c r="C108" i="70"/>
  <c r="D107" i="70"/>
  <c r="C106" i="70"/>
  <c r="C105" i="70"/>
  <c r="C104" i="70"/>
  <c r="C101" i="70"/>
  <c r="C100" i="70"/>
  <c r="E88" i="70"/>
  <c r="B87" i="70"/>
  <c r="C85" i="70"/>
  <c r="C90" i="70" s="1"/>
  <c r="C82" i="70"/>
  <c r="C87" i="70" s="1"/>
  <c r="E73" i="70"/>
  <c r="B72" i="70"/>
  <c r="C63" i="70"/>
  <c r="C73" i="70" s="1"/>
  <c r="B58" i="70"/>
  <c r="B68" i="70" s="1"/>
  <c r="B78" i="70" s="1"/>
  <c r="B57" i="70"/>
  <c r="B67" i="70" s="1"/>
  <c r="B77" i="70" s="1"/>
  <c r="B56" i="70"/>
  <c r="B66" i="70" s="1"/>
  <c r="B76" i="70" s="1"/>
  <c r="B55" i="70"/>
  <c r="B65" i="70" s="1"/>
  <c r="B75" i="70" s="1"/>
  <c r="B54" i="70"/>
  <c r="B64" i="70" s="1"/>
  <c r="B74" i="70" s="1"/>
  <c r="B52" i="70"/>
  <c r="C50" i="70"/>
  <c r="C60" i="70" s="1"/>
  <c r="C70" i="70" s="1"/>
  <c r="C80" i="70" s="1"/>
  <c r="D43" i="70"/>
  <c r="D63" i="70" s="1"/>
  <c r="D83" i="70" s="1"/>
  <c r="C43" i="70"/>
  <c r="C53" i="70" s="1"/>
  <c r="C52" i="70"/>
  <c r="C62" i="70" s="1"/>
  <c r="C72" i="70" s="1"/>
  <c r="E216" i="56"/>
  <c r="B215" i="56"/>
  <c r="C202" i="56"/>
  <c r="C216" i="56" s="1"/>
  <c r="B197" i="56"/>
  <c r="B211" i="56" s="1"/>
  <c r="B225" i="56" s="1"/>
  <c r="B195" i="56"/>
  <c r="B209" i="56" s="1"/>
  <c r="B223" i="56" s="1"/>
  <c r="B193" i="56"/>
  <c r="B207" i="56" s="1"/>
  <c r="B221" i="56" s="1"/>
  <c r="B191" i="56"/>
  <c r="B205" i="56" s="1"/>
  <c r="B219" i="56" s="1"/>
  <c r="B189" i="56"/>
  <c r="B203" i="56" s="1"/>
  <c r="B217" i="56" s="1"/>
  <c r="B187" i="56"/>
  <c r="C199" i="56"/>
  <c r="C213" i="56" s="1"/>
  <c r="C227" i="56" s="1"/>
  <c r="C198" i="56"/>
  <c r="C212" i="56" s="1"/>
  <c r="C226" i="56" s="1"/>
  <c r="C197" i="56"/>
  <c r="C211" i="56" s="1"/>
  <c r="C225" i="56" s="1"/>
  <c r="C196" i="56"/>
  <c r="C210" i="56" s="1"/>
  <c r="C224" i="56" s="1"/>
  <c r="C195" i="56"/>
  <c r="C209" i="56" s="1"/>
  <c r="C223" i="56" s="1"/>
  <c r="C194" i="56"/>
  <c r="C208" i="56" s="1"/>
  <c r="C222" i="56" s="1"/>
  <c r="C193" i="56"/>
  <c r="C207" i="56" s="1"/>
  <c r="C221" i="56" s="1"/>
  <c r="C192" i="56"/>
  <c r="C206" i="56" s="1"/>
  <c r="C220" i="56" s="1"/>
  <c r="C191" i="56"/>
  <c r="C205" i="56" s="1"/>
  <c r="C219" i="56" s="1"/>
  <c r="C190" i="56"/>
  <c r="C204" i="56" s="1"/>
  <c r="C218" i="56" s="1"/>
  <c r="C189" i="56"/>
  <c r="C203" i="56" s="1"/>
  <c r="C217" i="56" s="1"/>
  <c r="D174" i="56"/>
  <c r="D202" i="56" s="1"/>
  <c r="C188" i="56"/>
  <c r="C187" i="56"/>
  <c r="C201" i="56" s="1"/>
  <c r="C215" i="56" s="1"/>
  <c r="B111" i="56"/>
  <c r="B64" i="56"/>
  <c r="B44" i="56"/>
  <c r="B16" i="56"/>
  <c r="V230" i="71" l="1"/>
  <c r="M230" i="71"/>
  <c r="AE230" i="71"/>
  <c r="AF230" i="71"/>
  <c r="AG230" i="71" s="1"/>
  <c r="AH230" i="71" s="1"/>
  <c r="AI230" i="71" s="1"/>
  <c r="AJ230" i="71" s="1"/>
  <c r="AK230" i="71" s="1"/>
  <c r="AL230" i="71" s="1"/>
  <c r="AM230" i="71" s="1"/>
  <c r="AN230" i="71" s="1"/>
  <c r="AO230" i="71" s="1"/>
  <c r="AP230" i="71" s="1"/>
  <c r="AD230" i="71"/>
  <c r="W230" i="71"/>
  <c r="S230" i="71"/>
  <c r="F230" i="71"/>
  <c r="AC230" i="71"/>
  <c r="AB230" i="71"/>
  <c r="R230" i="71"/>
  <c r="E230" i="71"/>
  <c r="AA230" i="71"/>
  <c r="H230" i="71"/>
  <c r="I230" i="71"/>
  <c r="N230" i="71"/>
  <c r="L230" i="71"/>
  <c r="Z230" i="71"/>
  <c r="O230" i="71"/>
  <c r="K230" i="71"/>
  <c r="Q230" i="71"/>
  <c r="U230" i="71"/>
  <c r="P230" i="71"/>
  <c r="J230" i="71"/>
  <c r="G230" i="71"/>
  <c r="X230" i="71"/>
  <c r="T230" i="71"/>
  <c r="Y230" i="71"/>
  <c r="S234" i="71"/>
  <c r="Z234" i="71"/>
  <c r="AA234" i="71"/>
  <c r="L234" i="71"/>
  <c r="X234" i="71"/>
  <c r="N234" i="71"/>
  <c r="R234" i="71"/>
  <c r="O234" i="71"/>
  <c r="Q234" i="71"/>
  <c r="AF234" i="71"/>
  <c r="AG234" i="71" s="1"/>
  <c r="AH234" i="71" s="1"/>
  <c r="AI234" i="71" s="1"/>
  <c r="AJ234" i="71" s="1"/>
  <c r="AK234" i="71" s="1"/>
  <c r="AL234" i="71" s="1"/>
  <c r="AM234" i="71" s="1"/>
  <c r="AN234" i="71" s="1"/>
  <c r="AO234" i="71" s="1"/>
  <c r="AP234" i="71" s="1"/>
  <c r="G234" i="71"/>
  <c r="T234" i="71"/>
  <c r="P234" i="71"/>
  <c r="H234" i="71"/>
  <c r="AB234" i="71"/>
  <c r="AC234" i="71"/>
  <c r="AE234" i="71"/>
  <c r="Y234" i="71"/>
  <c r="V234" i="71"/>
  <c r="E234" i="71"/>
  <c r="M234" i="71"/>
  <c r="F234" i="71"/>
  <c r="AD234" i="71"/>
  <c r="W234" i="71"/>
  <c r="J234" i="71"/>
  <c r="I234" i="71"/>
  <c r="U234" i="71"/>
  <c r="C101" i="71"/>
  <c r="C104" i="71"/>
  <c r="C107" i="71" s="1"/>
  <c r="D102" i="71"/>
  <c r="D105" i="71"/>
  <c r="D108" i="71" s="1"/>
  <c r="H141" i="71"/>
  <c r="G141" i="71"/>
  <c r="G217" i="56"/>
  <c r="F217" i="56"/>
  <c r="O217" i="56"/>
  <c r="N218" i="56"/>
  <c r="D204" i="56" s="1"/>
  <c r="H191" i="56"/>
  <c r="H199" i="56" s="1"/>
  <c r="E177" i="56"/>
  <c r="E12" i="17"/>
  <c r="E18" i="17" s="1"/>
  <c r="L12" i="17"/>
  <c r="L18" i="17" s="1"/>
  <c r="S12" i="17"/>
  <c r="S18" i="17" s="1"/>
  <c r="K12" i="17"/>
  <c r="K18" i="17" s="1"/>
  <c r="R12" i="17"/>
  <c r="R18" i="17" s="1"/>
  <c r="J12" i="17"/>
  <c r="J18" i="17" s="1"/>
  <c r="Q12" i="17"/>
  <c r="Q18" i="17" s="1"/>
  <c r="I12" i="17"/>
  <c r="I18" i="17" s="1"/>
  <c r="P12" i="17"/>
  <c r="P18" i="17" s="1"/>
  <c r="H12" i="17"/>
  <c r="H18" i="17" s="1"/>
  <c r="O12" i="17"/>
  <c r="O18" i="17" s="1"/>
  <c r="G12" i="17"/>
  <c r="G18" i="17" s="1"/>
  <c r="G44" i="17"/>
  <c r="N12" i="17"/>
  <c r="N18" i="17" s="1"/>
  <c r="F12" i="17"/>
  <c r="F18" i="17" s="1"/>
  <c r="H217" i="56"/>
  <c r="R192" i="56"/>
  <c r="R191" i="56"/>
  <c r="J191" i="56"/>
  <c r="J192" i="56"/>
  <c r="J199" i="56" s="1"/>
  <c r="L191" i="56"/>
  <c r="L192" i="56"/>
  <c r="J177" i="56"/>
  <c r="R177" i="56"/>
  <c r="P199" i="56"/>
  <c r="R178" i="56"/>
  <c r="I192" i="56"/>
  <c r="I199" i="56" s="1"/>
  <c r="M217" i="56"/>
  <c r="E217" i="56"/>
  <c r="O192" i="56"/>
  <c r="O199" i="56" s="1"/>
  <c r="G192" i="56"/>
  <c r="G199" i="56" s="1"/>
  <c r="M191" i="56"/>
  <c r="M199" i="56" s="1"/>
  <c r="N177" i="56"/>
  <c r="F177" i="56"/>
  <c r="S177" i="56"/>
  <c r="K177" i="56"/>
  <c r="I139" i="71"/>
  <c r="C95" i="71"/>
  <c r="H140" i="71"/>
  <c r="B29" i="71"/>
  <c r="B39" i="71" s="1"/>
  <c r="C99" i="71"/>
  <c r="C96" i="71"/>
  <c r="F139" i="71"/>
  <c r="F140" i="71"/>
  <c r="F141" i="71"/>
  <c r="G140" i="71"/>
  <c r="I141" i="71"/>
  <c r="B216" i="70"/>
  <c r="B226" i="70" s="1"/>
  <c r="D185" i="70"/>
  <c r="F185" i="70"/>
  <c r="H178" i="70"/>
  <c r="E185" i="70"/>
  <c r="G185" i="70"/>
  <c r="I160" i="70"/>
  <c r="G181" i="70" s="1"/>
  <c r="H160" i="70"/>
  <c r="F181" i="70" s="1"/>
  <c r="F162" i="70"/>
  <c r="D183" i="70" s="1"/>
  <c r="I161" i="70"/>
  <c r="G182" i="70" s="1"/>
  <c r="G160" i="70"/>
  <c r="E181" i="70" s="1"/>
  <c r="H161" i="70"/>
  <c r="F182" i="70" s="1"/>
  <c r="F160" i="70"/>
  <c r="D181" i="70" s="1"/>
  <c r="G161" i="70"/>
  <c r="E182" i="70" s="1"/>
  <c r="C20" i="70"/>
  <c r="L227" i="70"/>
  <c r="N227" i="70"/>
  <c r="F227" i="70"/>
  <c r="C122" i="70"/>
  <c r="S227" i="70"/>
  <c r="K227" i="70"/>
  <c r="O227" i="70"/>
  <c r="M227" i="70"/>
  <c r="D233" i="70"/>
  <c r="D235" i="70"/>
  <c r="E227" i="70"/>
  <c r="C56" i="70"/>
  <c r="C66" i="70" s="1"/>
  <c r="C76" i="70" s="1"/>
  <c r="C58" i="70"/>
  <c r="C68" i="70" s="1"/>
  <c r="C78" i="70" s="1"/>
  <c r="D212" i="70"/>
  <c r="G227" i="70"/>
  <c r="C84" i="70"/>
  <c r="C89" i="70" s="1"/>
  <c r="C54" i="70"/>
  <c r="C64" i="70" s="1"/>
  <c r="C74" i="70" s="1"/>
  <c r="C57" i="70"/>
  <c r="C67" i="70" s="1"/>
  <c r="C77" i="70" s="1"/>
  <c r="C55" i="70"/>
  <c r="C65" i="70" s="1"/>
  <c r="C75" i="70" s="1"/>
  <c r="C120" i="70"/>
  <c r="D213" i="70"/>
  <c r="D231" i="70"/>
  <c r="D211" i="70"/>
  <c r="D215" i="70"/>
  <c r="H227" i="70"/>
  <c r="P227" i="70"/>
  <c r="D214" i="70"/>
  <c r="I227" i="70"/>
  <c r="Q227" i="70"/>
  <c r="D234" i="70"/>
  <c r="J227" i="70"/>
  <c r="R227" i="70"/>
  <c r="D232" i="70"/>
  <c r="D208" i="56"/>
  <c r="Q199" i="56"/>
  <c r="D207" i="56"/>
  <c r="D205" i="56"/>
  <c r="D209" i="56"/>
  <c r="D210" i="56"/>
  <c r="D206" i="56"/>
  <c r="D212" i="56"/>
  <c r="D211" i="56"/>
  <c r="C102" i="71" l="1"/>
  <c r="C105" i="71"/>
  <c r="C108" i="71" s="1"/>
  <c r="D203" i="56"/>
  <c r="R199" i="56"/>
  <c r="L199" i="56"/>
  <c r="D12" i="17"/>
  <c r="N191" i="56"/>
  <c r="N192" i="56"/>
  <c r="K191" i="56"/>
  <c r="K192" i="56"/>
  <c r="S192" i="56"/>
  <c r="S191" i="56"/>
  <c r="F191" i="56"/>
  <c r="F192" i="56"/>
  <c r="E192" i="56"/>
  <c r="E191" i="56"/>
  <c r="B236" i="70"/>
  <c r="B246" i="70" s="1"/>
  <c r="C126" i="70"/>
  <c r="C129" i="70" s="1"/>
  <c r="C123" i="70"/>
  <c r="K199" i="56" l="1"/>
  <c r="S199" i="56"/>
  <c r="E199" i="56"/>
  <c r="F199" i="56"/>
  <c r="N199" i="56"/>
  <c r="E22" i="70" l="1"/>
  <c r="F22" i="70" s="1"/>
  <c r="G22" i="70" s="1"/>
  <c r="H22" i="70" s="1"/>
  <c r="I22" i="70" s="1"/>
  <c r="J22" i="70" s="1"/>
  <c r="K22" i="70" s="1"/>
  <c r="L22" i="70" s="1"/>
  <c r="M22" i="70" s="1"/>
  <c r="N22" i="70" s="1"/>
  <c r="O22" i="70" s="1"/>
  <c r="P22" i="70" s="1"/>
  <c r="Q22" i="70" s="1"/>
  <c r="R22" i="70" s="1"/>
  <c r="S22" i="70" s="1"/>
  <c r="E32" i="70" s="1"/>
  <c r="F32" i="70" s="1"/>
  <c r="G32" i="70" s="1"/>
  <c r="H32" i="70" s="1"/>
  <c r="I32" i="70" s="1"/>
  <c r="J32" i="70" s="1"/>
  <c r="K32" i="70" s="1"/>
  <c r="L32" i="70" s="1"/>
  <c r="M32" i="70" s="1"/>
  <c r="N32" i="70" s="1"/>
  <c r="O32" i="70" s="1"/>
  <c r="P32" i="70" s="1"/>
  <c r="Q32" i="70" s="1"/>
  <c r="R32" i="70" s="1"/>
  <c r="S32" i="70" s="1"/>
  <c r="F2" i="70"/>
  <c r="G2" i="70" s="1"/>
  <c r="H2" i="70" s="1"/>
  <c r="I2" i="70" s="1"/>
  <c r="J2" i="70" s="1"/>
  <c r="K2" i="70" s="1"/>
  <c r="L2" i="70" s="1"/>
  <c r="M2" i="70" s="1"/>
  <c r="N2" i="70" s="1"/>
  <c r="O2" i="70" s="1"/>
  <c r="P2" i="70" s="1"/>
  <c r="Q2" i="70" s="1"/>
  <c r="R2" i="70" s="1"/>
  <c r="S2" i="70" s="1"/>
  <c r="E12" i="70" s="1"/>
  <c r="F12" i="70" s="1"/>
  <c r="G12" i="70" s="1"/>
  <c r="H12" i="70" s="1"/>
  <c r="I12" i="70" s="1"/>
  <c r="J12" i="70" s="1"/>
  <c r="K12" i="70" s="1"/>
  <c r="L12" i="70" s="1"/>
  <c r="M12" i="70" s="1"/>
  <c r="N12" i="70" s="1"/>
  <c r="O12" i="70" s="1"/>
  <c r="P12" i="70" s="1"/>
  <c r="Q12" i="70" s="1"/>
  <c r="R12" i="70" s="1"/>
  <c r="S12" i="70" s="1"/>
  <c r="B142" i="56" l="1"/>
  <c r="B144" i="56"/>
  <c r="B146" i="56"/>
  <c r="B148" i="56"/>
  <c r="B140" i="56"/>
  <c r="B47" i="55" l="1"/>
  <c r="C42" i="55"/>
  <c r="C51" i="55" s="1"/>
  <c r="C43" i="55"/>
  <c r="C52" i="55" s="1"/>
  <c r="C44" i="55"/>
  <c r="C53" i="55" s="1"/>
  <c r="D97" i="46" l="1"/>
  <c r="F33" i="55"/>
  <c r="G33" i="55"/>
  <c r="H33" i="55"/>
  <c r="I33" i="55"/>
  <c r="J33" i="55"/>
  <c r="K33" i="55"/>
  <c r="L33" i="55"/>
  <c r="M33" i="55"/>
  <c r="N33" i="55"/>
  <c r="O33" i="55"/>
  <c r="P33" i="55"/>
  <c r="Q33" i="55"/>
  <c r="R33" i="55"/>
  <c r="S33" i="55"/>
  <c r="T33" i="55"/>
  <c r="C24" i="55"/>
  <c r="C33" i="55" s="1"/>
  <c r="C15" i="55"/>
  <c r="F24" i="55"/>
  <c r="G24" i="55"/>
  <c r="H24" i="55"/>
  <c r="I24" i="55"/>
  <c r="J24" i="55"/>
  <c r="K24" i="55"/>
  <c r="L24" i="55"/>
  <c r="M24" i="55"/>
  <c r="N24" i="55"/>
  <c r="O24" i="55"/>
  <c r="P24" i="55"/>
  <c r="Q24" i="55"/>
  <c r="R24" i="55"/>
  <c r="S24" i="55"/>
  <c r="T24" i="55"/>
  <c r="E6" i="55"/>
  <c r="B11" i="55"/>
  <c r="F2" i="55"/>
  <c r="G31" i="55"/>
  <c r="H31" i="55"/>
  <c r="I31" i="55"/>
  <c r="J31" i="55"/>
  <c r="K31" i="55"/>
  <c r="L31" i="55"/>
  <c r="M31" i="55"/>
  <c r="N31" i="55"/>
  <c r="O31" i="55"/>
  <c r="P31" i="55"/>
  <c r="Q31" i="55"/>
  <c r="R31" i="55"/>
  <c r="S31" i="55"/>
  <c r="T31" i="55"/>
  <c r="G32" i="55"/>
  <c r="H32" i="55"/>
  <c r="I32" i="55"/>
  <c r="J32" i="55"/>
  <c r="K32" i="55"/>
  <c r="L32" i="55"/>
  <c r="M32" i="55"/>
  <c r="N32" i="55"/>
  <c r="O32" i="55"/>
  <c r="P32" i="55"/>
  <c r="Q32" i="55"/>
  <c r="R32" i="55"/>
  <c r="S32" i="55"/>
  <c r="T32" i="55"/>
  <c r="G34" i="55"/>
  <c r="H34" i="55"/>
  <c r="I34" i="55"/>
  <c r="J34" i="55"/>
  <c r="K34" i="55"/>
  <c r="L34" i="55"/>
  <c r="M34" i="55"/>
  <c r="N34" i="55"/>
  <c r="O34" i="55"/>
  <c r="P34" i="55"/>
  <c r="Q34" i="55"/>
  <c r="R34" i="55"/>
  <c r="S34" i="55"/>
  <c r="T34" i="55"/>
  <c r="G35" i="55"/>
  <c r="H35" i="55"/>
  <c r="I35" i="55"/>
  <c r="J35" i="55"/>
  <c r="K35" i="55"/>
  <c r="L35" i="55"/>
  <c r="M35" i="55"/>
  <c r="N35" i="55"/>
  <c r="O35" i="55"/>
  <c r="P35" i="55"/>
  <c r="Q35" i="55"/>
  <c r="R35" i="55"/>
  <c r="S35" i="55"/>
  <c r="T35" i="55"/>
  <c r="F32" i="55"/>
  <c r="F34" i="55"/>
  <c r="F35" i="55"/>
  <c r="F31" i="55"/>
  <c r="G22" i="55"/>
  <c r="H22" i="55"/>
  <c r="I22" i="55"/>
  <c r="J22" i="55"/>
  <c r="K22" i="55"/>
  <c r="L22" i="55"/>
  <c r="M22" i="55"/>
  <c r="N22" i="55"/>
  <c r="O22" i="55"/>
  <c r="P22" i="55"/>
  <c r="Q22" i="55"/>
  <c r="R22" i="55"/>
  <c r="S22" i="55"/>
  <c r="T22" i="55"/>
  <c r="G23" i="55"/>
  <c r="H23" i="55"/>
  <c r="I23" i="55"/>
  <c r="J23" i="55"/>
  <c r="K23" i="55"/>
  <c r="L23" i="55"/>
  <c r="M23" i="55"/>
  <c r="N23" i="55"/>
  <c r="O23" i="55"/>
  <c r="P23" i="55"/>
  <c r="Q23" i="55"/>
  <c r="R23" i="55"/>
  <c r="S23" i="55"/>
  <c r="T23" i="55"/>
  <c r="G25" i="55"/>
  <c r="H25" i="55"/>
  <c r="I25" i="55"/>
  <c r="J25" i="55"/>
  <c r="K25" i="55"/>
  <c r="L25" i="55"/>
  <c r="M25" i="55"/>
  <c r="N25" i="55"/>
  <c r="O25" i="55"/>
  <c r="P25" i="55"/>
  <c r="Q25" i="55"/>
  <c r="R25" i="55"/>
  <c r="S25" i="55"/>
  <c r="T25" i="55"/>
  <c r="G26" i="55"/>
  <c r="H26" i="55"/>
  <c r="I26" i="55"/>
  <c r="J26" i="55"/>
  <c r="K26" i="55"/>
  <c r="L26" i="55"/>
  <c r="M26" i="55"/>
  <c r="N26" i="55"/>
  <c r="O26" i="55"/>
  <c r="P26" i="55"/>
  <c r="Q26" i="55"/>
  <c r="R26" i="55"/>
  <c r="S26" i="55"/>
  <c r="T26" i="55"/>
  <c r="F23" i="55"/>
  <c r="F25" i="55"/>
  <c r="F26" i="55"/>
  <c r="F22" i="55"/>
  <c r="B37" i="22"/>
  <c r="B23" i="22"/>
  <c r="B9" i="22"/>
  <c r="F86" i="53"/>
  <c r="G86" i="53"/>
  <c r="H86" i="53"/>
  <c r="I86" i="53"/>
  <c r="J86" i="53"/>
  <c r="K86" i="53"/>
  <c r="L86" i="53"/>
  <c r="M86" i="53"/>
  <c r="N86" i="53"/>
  <c r="O86" i="53"/>
  <c r="P86" i="53"/>
  <c r="Q86" i="53"/>
  <c r="R86" i="53"/>
  <c r="S86" i="53"/>
  <c r="E86" i="53"/>
  <c r="F77" i="53"/>
  <c r="G77" i="53"/>
  <c r="H77" i="53"/>
  <c r="I77" i="53"/>
  <c r="J77" i="53"/>
  <c r="K77" i="53"/>
  <c r="L77" i="53"/>
  <c r="M77" i="53"/>
  <c r="N77" i="53"/>
  <c r="O77" i="53"/>
  <c r="P77" i="53"/>
  <c r="Q77" i="53"/>
  <c r="R77" i="53"/>
  <c r="S77" i="53"/>
  <c r="E77" i="53"/>
  <c r="F54" i="53"/>
  <c r="G54" i="53"/>
  <c r="H54" i="53"/>
  <c r="I54" i="53"/>
  <c r="J54" i="53"/>
  <c r="K54" i="53"/>
  <c r="L54" i="53"/>
  <c r="M54" i="53"/>
  <c r="N54" i="53"/>
  <c r="O54" i="53"/>
  <c r="P54" i="53"/>
  <c r="Q54" i="53"/>
  <c r="R54" i="53"/>
  <c r="S54" i="53"/>
  <c r="F55" i="53"/>
  <c r="G55" i="53"/>
  <c r="H55" i="53"/>
  <c r="I55" i="53"/>
  <c r="J55" i="53"/>
  <c r="K55" i="53"/>
  <c r="L55" i="53"/>
  <c r="M55" i="53"/>
  <c r="N55" i="53"/>
  <c r="O55" i="53"/>
  <c r="P55" i="53"/>
  <c r="Q55" i="53"/>
  <c r="R55" i="53"/>
  <c r="S55" i="53"/>
  <c r="F56" i="53"/>
  <c r="G56" i="53"/>
  <c r="H56" i="53"/>
  <c r="I56" i="53"/>
  <c r="J56" i="53"/>
  <c r="K56" i="53"/>
  <c r="L56" i="53"/>
  <c r="M56" i="53"/>
  <c r="N56" i="53"/>
  <c r="O56" i="53"/>
  <c r="P56" i="53"/>
  <c r="Q56" i="53"/>
  <c r="R56" i="53"/>
  <c r="S56" i="53"/>
  <c r="F57" i="53"/>
  <c r="G57" i="53"/>
  <c r="H57" i="53"/>
  <c r="I57" i="53"/>
  <c r="J57" i="53"/>
  <c r="K57" i="53"/>
  <c r="L57" i="53"/>
  <c r="M57" i="53"/>
  <c r="N57" i="53"/>
  <c r="O57" i="53"/>
  <c r="P57" i="53"/>
  <c r="Q57" i="53"/>
  <c r="R57" i="53"/>
  <c r="S57" i="53"/>
  <c r="E55" i="53"/>
  <c r="E56" i="53"/>
  <c r="E57" i="53"/>
  <c r="E54" i="53"/>
  <c r="F45" i="53"/>
  <c r="F82" i="53" s="1"/>
  <c r="G45" i="53"/>
  <c r="G82" i="53" s="1"/>
  <c r="H45" i="53"/>
  <c r="H82" i="53" s="1"/>
  <c r="I45" i="53"/>
  <c r="I82" i="53" s="1"/>
  <c r="J45" i="53"/>
  <c r="K45" i="53"/>
  <c r="K82" i="53" s="1"/>
  <c r="L45" i="53"/>
  <c r="L82" i="53" s="1"/>
  <c r="M45" i="53"/>
  <c r="M82" i="53" s="1"/>
  <c r="N45" i="53"/>
  <c r="N82" i="53" s="1"/>
  <c r="O45" i="53"/>
  <c r="O82" i="53" s="1"/>
  <c r="P45" i="53"/>
  <c r="P82" i="53" s="1"/>
  <c r="Q45" i="53"/>
  <c r="Q82" i="53" s="1"/>
  <c r="R45" i="53"/>
  <c r="S45" i="53"/>
  <c r="S82" i="53" s="1"/>
  <c r="F46" i="53"/>
  <c r="F83" i="53" s="1"/>
  <c r="G46" i="53"/>
  <c r="G83" i="53" s="1"/>
  <c r="H46" i="53"/>
  <c r="H83" i="53" s="1"/>
  <c r="I46" i="53"/>
  <c r="I83" i="53" s="1"/>
  <c r="J46" i="53"/>
  <c r="J83" i="53" s="1"/>
  <c r="K46" i="53"/>
  <c r="K83" i="53" s="1"/>
  <c r="L46" i="53"/>
  <c r="M46" i="53"/>
  <c r="M83" i="53" s="1"/>
  <c r="N46" i="53"/>
  <c r="N83" i="53" s="1"/>
  <c r="O46" i="53"/>
  <c r="O83" i="53" s="1"/>
  <c r="P46" i="53"/>
  <c r="P83" i="53" s="1"/>
  <c r="Q46" i="53"/>
  <c r="Q83" i="53" s="1"/>
  <c r="R46" i="53"/>
  <c r="R83" i="53" s="1"/>
  <c r="S46" i="53"/>
  <c r="S83" i="53" s="1"/>
  <c r="F47" i="53"/>
  <c r="G47" i="53"/>
  <c r="G84" i="53" s="1"/>
  <c r="H47" i="53"/>
  <c r="H84" i="53" s="1"/>
  <c r="I47" i="53"/>
  <c r="I84" i="53" s="1"/>
  <c r="J47" i="53"/>
  <c r="J84" i="53" s="1"/>
  <c r="K47" i="53"/>
  <c r="K84" i="53" s="1"/>
  <c r="L47" i="53"/>
  <c r="L84" i="53" s="1"/>
  <c r="M47" i="53"/>
  <c r="M84" i="53" s="1"/>
  <c r="N47" i="53"/>
  <c r="O47" i="53"/>
  <c r="O84" i="53" s="1"/>
  <c r="P47" i="53"/>
  <c r="P84" i="53" s="1"/>
  <c r="Q47" i="53"/>
  <c r="Q84" i="53" s="1"/>
  <c r="R47" i="53"/>
  <c r="R84" i="53" s="1"/>
  <c r="S47" i="53"/>
  <c r="S84" i="53" s="1"/>
  <c r="F48" i="53"/>
  <c r="G48" i="53"/>
  <c r="H48" i="53"/>
  <c r="I48" i="53"/>
  <c r="J48" i="53"/>
  <c r="K48" i="53"/>
  <c r="L48" i="53"/>
  <c r="L85" i="53" s="1"/>
  <c r="M48" i="53"/>
  <c r="N48" i="53"/>
  <c r="O48" i="53"/>
  <c r="P48" i="53"/>
  <c r="Q48" i="53"/>
  <c r="R48" i="53"/>
  <c r="S48" i="53"/>
  <c r="E46" i="53"/>
  <c r="E47" i="53"/>
  <c r="E48" i="53"/>
  <c r="E45" i="53"/>
  <c r="C57" i="53"/>
  <c r="C66" i="53" s="1"/>
  <c r="C76" i="53" s="1"/>
  <c r="C85" i="53" s="1"/>
  <c r="C58" i="53"/>
  <c r="C49" i="53"/>
  <c r="C48" i="53"/>
  <c r="F36" i="53"/>
  <c r="F73" i="53" s="1"/>
  <c r="G36" i="53"/>
  <c r="G73" i="53" s="1"/>
  <c r="H36" i="53"/>
  <c r="I36" i="53"/>
  <c r="J36" i="53"/>
  <c r="K36" i="53"/>
  <c r="K73" i="53" s="1"/>
  <c r="L36" i="53"/>
  <c r="M36" i="53"/>
  <c r="N36" i="53"/>
  <c r="N73" i="53" s="1"/>
  <c r="O36" i="53"/>
  <c r="O73" i="53" s="1"/>
  <c r="P36" i="53"/>
  <c r="Q36" i="53"/>
  <c r="R36" i="53"/>
  <c r="S36" i="53"/>
  <c r="S73" i="53" s="1"/>
  <c r="F37" i="53"/>
  <c r="G37" i="53"/>
  <c r="H37" i="53"/>
  <c r="I37" i="53"/>
  <c r="I74" i="53" s="1"/>
  <c r="J37" i="53"/>
  <c r="J74" i="53" s="1"/>
  <c r="K37" i="53"/>
  <c r="L37" i="53"/>
  <c r="M37" i="53"/>
  <c r="M74" i="53" s="1"/>
  <c r="N37" i="53"/>
  <c r="O37" i="53"/>
  <c r="P37" i="53"/>
  <c r="P74" i="53" s="1"/>
  <c r="Q37" i="53"/>
  <c r="Q74" i="53" s="1"/>
  <c r="R37" i="53"/>
  <c r="R74" i="53" s="1"/>
  <c r="S37" i="53"/>
  <c r="F38" i="53"/>
  <c r="G38" i="53"/>
  <c r="G75" i="53" s="1"/>
  <c r="H38" i="53"/>
  <c r="I38" i="53"/>
  <c r="J38" i="53"/>
  <c r="J75" i="53" s="1"/>
  <c r="K38" i="53"/>
  <c r="K75" i="53" s="1"/>
  <c r="L38" i="53"/>
  <c r="L75" i="53" s="1"/>
  <c r="M38" i="53"/>
  <c r="N38" i="53"/>
  <c r="O38" i="53"/>
  <c r="O75" i="53" s="1"/>
  <c r="P38" i="53"/>
  <c r="Q38" i="53"/>
  <c r="R38" i="53"/>
  <c r="R75" i="53" s="1"/>
  <c r="S38" i="53"/>
  <c r="S75" i="53" s="1"/>
  <c r="F39" i="53"/>
  <c r="F76" i="53" s="1"/>
  <c r="G39" i="53"/>
  <c r="H39" i="53"/>
  <c r="I39" i="53"/>
  <c r="I76" i="53" s="1"/>
  <c r="J39" i="53"/>
  <c r="K39" i="53"/>
  <c r="L39" i="53"/>
  <c r="L76" i="53" s="1"/>
  <c r="M39" i="53"/>
  <c r="M76" i="53" s="1"/>
  <c r="N39" i="53"/>
  <c r="N76" i="53" s="1"/>
  <c r="O39" i="53"/>
  <c r="P39" i="53"/>
  <c r="Q39" i="53"/>
  <c r="Q76" i="53" s="1"/>
  <c r="R39" i="53"/>
  <c r="S39" i="53"/>
  <c r="E37" i="53"/>
  <c r="E74" i="53" s="1"/>
  <c r="E38" i="53"/>
  <c r="E75" i="53" s="1"/>
  <c r="E39" i="53"/>
  <c r="E76" i="53" s="1"/>
  <c r="E36" i="53"/>
  <c r="C43" i="53"/>
  <c r="C35" i="53"/>
  <c r="C44" i="53" s="1"/>
  <c r="D35" i="53"/>
  <c r="C36" i="53"/>
  <c r="C41" i="53"/>
  <c r="B67" i="24"/>
  <c r="B41" i="24"/>
  <c r="B15" i="24"/>
  <c r="B103" i="69"/>
  <c r="C70" i="69"/>
  <c r="C71" i="69"/>
  <c r="C72" i="69"/>
  <c r="C73" i="69"/>
  <c r="C69" i="69"/>
  <c r="R109" i="69"/>
  <c r="Q109" i="69"/>
  <c r="P109" i="69"/>
  <c r="O109" i="69"/>
  <c r="N109" i="69"/>
  <c r="M109" i="69"/>
  <c r="L109" i="69"/>
  <c r="K109" i="69"/>
  <c r="J109" i="69"/>
  <c r="I109" i="69"/>
  <c r="H109" i="69"/>
  <c r="G109" i="69"/>
  <c r="F109" i="69"/>
  <c r="E109" i="69"/>
  <c r="D109" i="69"/>
  <c r="R108" i="69"/>
  <c r="Q108" i="69"/>
  <c r="P108" i="69"/>
  <c r="O108" i="69"/>
  <c r="N108" i="69"/>
  <c r="M108" i="69"/>
  <c r="L108" i="69"/>
  <c r="K108" i="69"/>
  <c r="J108" i="69"/>
  <c r="I108" i="69"/>
  <c r="H108" i="69"/>
  <c r="G108" i="69"/>
  <c r="F108" i="69"/>
  <c r="E108" i="69"/>
  <c r="D108" i="69"/>
  <c r="R107" i="69"/>
  <c r="Q107" i="69"/>
  <c r="P107" i="69"/>
  <c r="O107" i="69"/>
  <c r="N107" i="69"/>
  <c r="M107" i="69"/>
  <c r="L107" i="69"/>
  <c r="K107" i="69"/>
  <c r="J107" i="69"/>
  <c r="I107" i="69"/>
  <c r="H107" i="69"/>
  <c r="G107" i="69"/>
  <c r="F107" i="69"/>
  <c r="E107" i="69"/>
  <c r="D107" i="69"/>
  <c r="R106" i="69"/>
  <c r="Q106" i="69"/>
  <c r="P106" i="69"/>
  <c r="O106" i="69"/>
  <c r="N106" i="69"/>
  <c r="M106" i="69"/>
  <c r="L106" i="69"/>
  <c r="K106" i="69"/>
  <c r="J106" i="69"/>
  <c r="I106" i="69"/>
  <c r="H106" i="69"/>
  <c r="G106" i="69"/>
  <c r="F106" i="69"/>
  <c r="E106" i="69"/>
  <c r="D106" i="69"/>
  <c r="R105" i="69"/>
  <c r="R110" i="69" s="1"/>
  <c r="Q105" i="69"/>
  <c r="P105" i="69"/>
  <c r="O105" i="69"/>
  <c r="N105" i="69"/>
  <c r="M105" i="69"/>
  <c r="L105" i="69"/>
  <c r="K105" i="69"/>
  <c r="J105" i="69"/>
  <c r="I105" i="69"/>
  <c r="H105" i="69"/>
  <c r="G105" i="69"/>
  <c r="F105" i="69"/>
  <c r="E105" i="69"/>
  <c r="D105" i="69"/>
  <c r="D104" i="69"/>
  <c r="C103" i="69"/>
  <c r="R100" i="69"/>
  <c r="Q100" i="69"/>
  <c r="P100" i="69"/>
  <c r="O100" i="69"/>
  <c r="N100" i="69"/>
  <c r="M100" i="69"/>
  <c r="L100" i="69"/>
  <c r="K100" i="69"/>
  <c r="J100" i="69"/>
  <c r="I100" i="69"/>
  <c r="H100" i="69"/>
  <c r="G100" i="69"/>
  <c r="F100" i="69"/>
  <c r="E100" i="69"/>
  <c r="D100" i="69"/>
  <c r="R99" i="69"/>
  <c r="Q99" i="69"/>
  <c r="P99" i="69"/>
  <c r="O99" i="69"/>
  <c r="N99" i="69"/>
  <c r="M99" i="69"/>
  <c r="L99" i="69"/>
  <c r="K99" i="69"/>
  <c r="J99" i="69"/>
  <c r="I99" i="69"/>
  <c r="H99" i="69"/>
  <c r="G99" i="69"/>
  <c r="F99" i="69"/>
  <c r="E99" i="69"/>
  <c r="D99" i="69"/>
  <c r="R98" i="69"/>
  <c r="Q98" i="69"/>
  <c r="P98" i="69"/>
  <c r="O98" i="69"/>
  <c r="N98" i="69"/>
  <c r="M98" i="69"/>
  <c r="L98" i="69"/>
  <c r="K98" i="69"/>
  <c r="J98" i="69"/>
  <c r="I98" i="69"/>
  <c r="H98" i="69"/>
  <c r="G98" i="69"/>
  <c r="F98" i="69"/>
  <c r="E98" i="69"/>
  <c r="D98" i="69"/>
  <c r="R97" i="69"/>
  <c r="Q97" i="69"/>
  <c r="P97" i="69"/>
  <c r="O97" i="69"/>
  <c r="N97" i="69"/>
  <c r="M97" i="69"/>
  <c r="L97" i="69"/>
  <c r="K97" i="69"/>
  <c r="J97" i="69"/>
  <c r="I97" i="69"/>
  <c r="H97" i="69"/>
  <c r="G97" i="69"/>
  <c r="F97" i="69"/>
  <c r="E97" i="69"/>
  <c r="D97" i="69"/>
  <c r="R96" i="69"/>
  <c r="Q96" i="69"/>
  <c r="P96" i="69"/>
  <c r="O96" i="69"/>
  <c r="N96" i="69"/>
  <c r="M96" i="69"/>
  <c r="L96" i="69"/>
  <c r="K96" i="69"/>
  <c r="J96" i="69"/>
  <c r="I96" i="69"/>
  <c r="H96" i="69"/>
  <c r="G96" i="69"/>
  <c r="F96" i="69"/>
  <c r="E96" i="69"/>
  <c r="D96" i="69"/>
  <c r="R92" i="69"/>
  <c r="Q92" i="69"/>
  <c r="P92" i="69"/>
  <c r="O92" i="69"/>
  <c r="N92" i="69"/>
  <c r="M92" i="69"/>
  <c r="L92" i="69"/>
  <c r="K92" i="69"/>
  <c r="J92" i="69"/>
  <c r="I92" i="69"/>
  <c r="H92" i="69"/>
  <c r="G92" i="69"/>
  <c r="F92" i="69"/>
  <c r="E92" i="69"/>
  <c r="D92" i="69"/>
  <c r="C92" i="69"/>
  <c r="D86" i="69"/>
  <c r="C86" i="69"/>
  <c r="B85" i="69"/>
  <c r="R83" i="69"/>
  <c r="Q83" i="69"/>
  <c r="P83" i="69"/>
  <c r="O83" i="69"/>
  <c r="N83" i="69"/>
  <c r="M83" i="69"/>
  <c r="L83" i="69"/>
  <c r="K83" i="69"/>
  <c r="J83" i="69"/>
  <c r="I83" i="69"/>
  <c r="H83" i="69"/>
  <c r="G83" i="69"/>
  <c r="F83" i="69"/>
  <c r="E83" i="69"/>
  <c r="D83" i="69"/>
  <c r="C82" i="69"/>
  <c r="C91" i="69" s="1"/>
  <c r="C81" i="69"/>
  <c r="C90" i="69" s="1"/>
  <c r="C80" i="69"/>
  <c r="C89" i="69" s="1"/>
  <c r="C79" i="69"/>
  <c r="C88" i="69" s="1"/>
  <c r="C78" i="69"/>
  <c r="C76" i="69"/>
  <c r="C85" i="69" s="1"/>
  <c r="R74" i="69"/>
  <c r="Q74" i="69"/>
  <c r="P74" i="69"/>
  <c r="O74" i="69"/>
  <c r="N74" i="69"/>
  <c r="M74" i="69"/>
  <c r="L74" i="69"/>
  <c r="K74" i="69"/>
  <c r="J74" i="69"/>
  <c r="I74" i="69"/>
  <c r="H74" i="69"/>
  <c r="G74" i="69"/>
  <c r="F74" i="69"/>
  <c r="E74" i="69"/>
  <c r="D74" i="69"/>
  <c r="C74" i="69"/>
  <c r="C68" i="69"/>
  <c r="C67" i="69"/>
  <c r="B67" i="69"/>
  <c r="R65" i="69"/>
  <c r="Q65" i="69"/>
  <c r="P65" i="69"/>
  <c r="O65" i="69"/>
  <c r="N65" i="69"/>
  <c r="M65" i="69"/>
  <c r="L65" i="69"/>
  <c r="K65" i="69"/>
  <c r="J65" i="69"/>
  <c r="I65" i="69"/>
  <c r="H65" i="69"/>
  <c r="G65" i="69"/>
  <c r="F65" i="69"/>
  <c r="E65" i="69"/>
  <c r="D65" i="69"/>
  <c r="E51" i="69"/>
  <c r="F51" i="69"/>
  <c r="G51" i="69"/>
  <c r="H51" i="69"/>
  <c r="I51" i="69"/>
  <c r="J51" i="69"/>
  <c r="K51" i="69"/>
  <c r="L51" i="69"/>
  <c r="M51" i="69"/>
  <c r="N51" i="69"/>
  <c r="O51" i="69"/>
  <c r="P51" i="69"/>
  <c r="Q51" i="69"/>
  <c r="R51" i="69"/>
  <c r="E52" i="69"/>
  <c r="F52" i="69"/>
  <c r="G52" i="69"/>
  <c r="H52" i="69"/>
  <c r="I52" i="69"/>
  <c r="J52" i="69"/>
  <c r="K52" i="69"/>
  <c r="L52" i="69"/>
  <c r="M52" i="69"/>
  <c r="N52" i="69"/>
  <c r="O52" i="69"/>
  <c r="P52" i="69"/>
  <c r="Q52" i="69"/>
  <c r="R52" i="69"/>
  <c r="E53" i="69"/>
  <c r="F53" i="69"/>
  <c r="G53" i="69"/>
  <c r="H53" i="69"/>
  <c r="I53" i="69"/>
  <c r="J53" i="69"/>
  <c r="K53" i="69"/>
  <c r="L53" i="69"/>
  <c r="M53" i="69"/>
  <c r="N53" i="69"/>
  <c r="O53" i="69"/>
  <c r="P53" i="69"/>
  <c r="Q53" i="69"/>
  <c r="R53" i="69"/>
  <c r="E54" i="69"/>
  <c r="F54" i="69"/>
  <c r="G54" i="69"/>
  <c r="H54" i="69"/>
  <c r="I54" i="69"/>
  <c r="J54" i="69"/>
  <c r="K54" i="69"/>
  <c r="L54" i="69"/>
  <c r="M54" i="69"/>
  <c r="N54" i="69"/>
  <c r="O54" i="69"/>
  <c r="P54" i="69"/>
  <c r="Q54" i="69"/>
  <c r="R54" i="69"/>
  <c r="E55" i="69"/>
  <c r="F55" i="69"/>
  <c r="G55" i="69"/>
  <c r="H55" i="69"/>
  <c r="I55" i="69"/>
  <c r="J55" i="69"/>
  <c r="K55" i="69"/>
  <c r="L55" i="69"/>
  <c r="M55" i="69"/>
  <c r="N55" i="69"/>
  <c r="O55" i="69"/>
  <c r="P55" i="69"/>
  <c r="Q55" i="69"/>
  <c r="R55" i="69"/>
  <c r="D52" i="69"/>
  <c r="D53" i="69"/>
  <c r="D54" i="69"/>
  <c r="D55" i="69"/>
  <c r="D51" i="69"/>
  <c r="E42" i="69"/>
  <c r="F42" i="69"/>
  <c r="G42" i="69"/>
  <c r="H42" i="69"/>
  <c r="I42" i="69"/>
  <c r="J42" i="69"/>
  <c r="K42" i="69"/>
  <c r="L42" i="69"/>
  <c r="M42" i="69"/>
  <c r="N42" i="69"/>
  <c r="O42" i="69"/>
  <c r="P42" i="69"/>
  <c r="Q42" i="69"/>
  <c r="R42" i="69"/>
  <c r="E43" i="69"/>
  <c r="F43" i="69"/>
  <c r="G43" i="69"/>
  <c r="H43" i="69"/>
  <c r="I43" i="69"/>
  <c r="J43" i="69"/>
  <c r="K43" i="69"/>
  <c r="L43" i="69"/>
  <c r="M43" i="69"/>
  <c r="N43" i="69"/>
  <c r="O43" i="69"/>
  <c r="P43" i="69"/>
  <c r="Q43" i="69"/>
  <c r="R43" i="69"/>
  <c r="E44" i="69"/>
  <c r="F44" i="69"/>
  <c r="G44" i="69"/>
  <c r="H44" i="69"/>
  <c r="I44" i="69"/>
  <c r="J44" i="69"/>
  <c r="K44" i="69"/>
  <c r="L44" i="69"/>
  <c r="M44" i="69"/>
  <c r="N44" i="69"/>
  <c r="O44" i="69"/>
  <c r="P44" i="69"/>
  <c r="Q44" i="69"/>
  <c r="R44" i="69"/>
  <c r="E45" i="69"/>
  <c r="F45" i="69"/>
  <c r="G45" i="69"/>
  <c r="H45" i="69"/>
  <c r="I45" i="69"/>
  <c r="J45" i="69"/>
  <c r="K45" i="69"/>
  <c r="L45" i="69"/>
  <c r="M45" i="69"/>
  <c r="N45" i="69"/>
  <c r="O45" i="69"/>
  <c r="P45" i="69"/>
  <c r="Q45" i="69"/>
  <c r="R45" i="69"/>
  <c r="E46" i="69"/>
  <c r="F46" i="69"/>
  <c r="G46" i="69"/>
  <c r="H46" i="69"/>
  <c r="I46" i="69"/>
  <c r="J46" i="69"/>
  <c r="K46" i="69"/>
  <c r="L46" i="69"/>
  <c r="M46" i="69"/>
  <c r="N46" i="69"/>
  <c r="O46" i="69"/>
  <c r="P46" i="69"/>
  <c r="Q46" i="69"/>
  <c r="R46" i="69"/>
  <c r="D43" i="69"/>
  <c r="D44" i="69"/>
  <c r="D45" i="69"/>
  <c r="D46" i="69"/>
  <c r="D42" i="69"/>
  <c r="C49" i="69"/>
  <c r="D50" i="69"/>
  <c r="C25" i="69"/>
  <c r="C26" i="69"/>
  <c r="C27" i="69"/>
  <c r="C28" i="69"/>
  <c r="C16" i="69"/>
  <c r="C17" i="69"/>
  <c r="C18" i="69"/>
  <c r="C19" i="69"/>
  <c r="D16" i="4"/>
  <c r="D11" i="4"/>
  <c r="D6" i="4"/>
  <c r="D7" i="4"/>
  <c r="D8" i="4"/>
  <c r="D9" i="4"/>
  <c r="D5" i="4"/>
  <c r="D3" i="4"/>
  <c r="H74" i="53" l="1"/>
  <c r="E97" i="46"/>
  <c r="F97" i="46" s="1"/>
  <c r="G97" i="46" s="1"/>
  <c r="H97" i="46" s="1"/>
  <c r="I97" i="46" s="1"/>
  <c r="D95" i="46"/>
  <c r="E95" i="46" s="1"/>
  <c r="F95" i="46" s="1"/>
  <c r="G95" i="46" s="1"/>
  <c r="H95" i="46" s="1"/>
  <c r="I95" i="46" s="1"/>
  <c r="J95" i="46" s="1"/>
  <c r="K95" i="46" s="1"/>
  <c r="L95" i="46" s="1"/>
  <c r="M95" i="46" s="1"/>
  <c r="D96" i="46"/>
  <c r="E96" i="46" s="1"/>
  <c r="F96" i="46" s="1"/>
  <c r="G96" i="46" s="1"/>
  <c r="H96" i="46" s="1"/>
  <c r="J110" i="69"/>
  <c r="D20" i="4"/>
  <c r="C21" i="4" s="1"/>
  <c r="M101" i="69"/>
  <c r="P76" i="53"/>
  <c r="H76" i="53"/>
  <c r="N75" i="53"/>
  <c r="F75" i="53"/>
  <c r="L74" i="53"/>
  <c r="O76" i="53"/>
  <c r="G76" i="53"/>
  <c r="M75" i="53"/>
  <c r="S74" i="53"/>
  <c r="K74" i="53"/>
  <c r="Q73" i="53"/>
  <c r="R73" i="53"/>
  <c r="J73" i="53"/>
  <c r="I73" i="53"/>
  <c r="P73" i="53"/>
  <c r="H73" i="53"/>
  <c r="S85" i="53"/>
  <c r="Q85" i="53"/>
  <c r="N84" i="53"/>
  <c r="F84" i="53"/>
  <c r="L83" i="53"/>
  <c r="L87" i="53" s="1"/>
  <c r="R82" i="53"/>
  <c r="J82" i="53"/>
  <c r="E110" i="69"/>
  <c r="H110" i="69"/>
  <c r="P110" i="69"/>
  <c r="M110" i="69"/>
  <c r="H101" i="69"/>
  <c r="P101" i="69"/>
  <c r="J101" i="69"/>
  <c r="R101" i="69"/>
  <c r="K101" i="69"/>
  <c r="E101" i="69"/>
  <c r="O85" i="53"/>
  <c r="L56" i="69"/>
  <c r="K56" i="69"/>
  <c r="M85" i="53"/>
  <c r="M87" i="53" s="1"/>
  <c r="K85" i="53"/>
  <c r="I85" i="53"/>
  <c r="I87" i="53" s="1"/>
  <c r="S76" i="53"/>
  <c r="K76" i="53"/>
  <c r="Q75" i="53"/>
  <c r="I75" i="53"/>
  <c r="O74" i="53"/>
  <c r="G74" i="53"/>
  <c r="M73" i="53"/>
  <c r="P47" i="69"/>
  <c r="H47" i="69"/>
  <c r="Q56" i="69"/>
  <c r="I56" i="69"/>
  <c r="P56" i="69"/>
  <c r="H56" i="69"/>
  <c r="N56" i="69"/>
  <c r="F56" i="69"/>
  <c r="O56" i="69"/>
  <c r="G56" i="69"/>
  <c r="M56" i="69"/>
  <c r="E56" i="69"/>
  <c r="R56" i="69"/>
  <c r="J56" i="69"/>
  <c r="F47" i="69"/>
  <c r="O47" i="69"/>
  <c r="G47" i="69"/>
  <c r="M47" i="69"/>
  <c r="E47" i="69"/>
  <c r="K47" i="69"/>
  <c r="L47" i="69"/>
  <c r="R47" i="69"/>
  <c r="J47" i="69"/>
  <c r="N47" i="69"/>
  <c r="Q47" i="69"/>
  <c r="I47" i="69"/>
  <c r="D47" i="69"/>
  <c r="D56" i="69"/>
  <c r="R85" i="53"/>
  <c r="J85" i="53"/>
  <c r="D57" i="53"/>
  <c r="P85" i="53"/>
  <c r="P87" i="53" s="1"/>
  <c r="H85" i="53"/>
  <c r="H87" i="53" s="1"/>
  <c r="G85" i="53"/>
  <c r="G87" i="53" s="1"/>
  <c r="S87" i="53"/>
  <c r="E85" i="53"/>
  <c r="N85" i="53"/>
  <c r="F85" i="53"/>
  <c r="K87" i="53"/>
  <c r="E24" i="55"/>
  <c r="Q87" i="53"/>
  <c r="O87" i="53"/>
  <c r="R76" i="53"/>
  <c r="J76" i="53"/>
  <c r="P75" i="53"/>
  <c r="H75" i="53"/>
  <c r="N74" i="53"/>
  <c r="F74" i="53"/>
  <c r="L73" i="53"/>
  <c r="D39" i="53"/>
  <c r="Q41" i="53"/>
  <c r="I41" i="53"/>
  <c r="H41" i="53"/>
  <c r="S41" i="53"/>
  <c r="K41" i="53"/>
  <c r="R41" i="53"/>
  <c r="G41" i="53"/>
  <c r="J41" i="53"/>
  <c r="O41" i="53"/>
  <c r="N41" i="53"/>
  <c r="P41" i="53"/>
  <c r="F41" i="53"/>
  <c r="M41" i="53"/>
  <c r="L41" i="53"/>
  <c r="E41" i="53"/>
  <c r="I101" i="69"/>
  <c r="Q101" i="69"/>
  <c r="I110" i="69"/>
  <c r="Q110" i="69"/>
  <c r="D101" i="69"/>
  <c r="L101" i="69"/>
  <c r="D110" i="69"/>
  <c r="L110" i="69"/>
  <c r="K110" i="69"/>
  <c r="F101" i="69"/>
  <c r="N101" i="69"/>
  <c r="F110" i="69"/>
  <c r="N110" i="69"/>
  <c r="G101" i="69"/>
  <c r="O101" i="69"/>
  <c r="G110" i="69"/>
  <c r="O110" i="69"/>
  <c r="C87" i="69"/>
  <c r="C96" i="69" s="1"/>
  <c r="C105" i="69" s="1"/>
  <c r="C100" i="69"/>
  <c r="C109" i="69" s="1"/>
  <c r="C97" i="69"/>
  <c r="C106" i="69" s="1"/>
  <c r="C99" i="69"/>
  <c r="C108" i="69" s="1"/>
  <c r="C98" i="69"/>
  <c r="C107" i="69" s="1"/>
  <c r="J97" i="46" l="1"/>
  <c r="K97" i="46" s="1"/>
  <c r="L97" i="46" s="1"/>
  <c r="M97" i="46" s="1"/>
  <c r="E71" i="71"/>
  <c r="E98" i="70"/>
  <c r="H130" i="70" s="1"/>
  <c r="F87" i="53"/>
  <c r="N87" i="53"/>
  <c r="I96" i="46"/>
  <c r="J96" i="46" s="1"/>
  <c r="K96" i="46" s="1"/>
  <c r="L96" i="46" s="1"/>
  <c r="M96" i="46" s="1"/>
  <c r="E97" i="70"/>
  <c r="J87" i="53"/>
  <c r="R87" i="53"/>
  <c r="D76" i="53"/>
  <c r="O103" i="71" l="1"/>
  <c r="AH98" i="46" s="1"/>
  <c r="L103" i="71"/>
  <c r="AE98" i="46" s="1"/>
  <c r="O130" i="70"/>
  <c r="J103" i="71"/>
  <c r="AC98" i="46" s="1"/>
  <c r="O127" i="70"/>
  <c r="Q130" i="70"/>
  <c r="R103" i="71"/>
  <c r="AK98" i="46" s="1"/>
  <c r="AL98" i="46" s="1"/>
  <c r="AM98" i="46" s="1"/>
  <c r="AN98" i="46" s="1"/>
  <c r="AO98" i="46" s="1"/>
  <c r="AP98" i="46" s="1"/>
  <c r="AQ98" i="46" s="1"/>
  <c r="AR98" i="46" s="1"/>
  <c r="AS98" i="46" s="1"/>
  <c r="AT98" i="46" s="1"/>
  <c r="N127" i="70"/>
  <c r="D103" i="71"/>
  <c r="W98" i="46" s="1"/>
  <c r="H103" i="71"/>
  <c r="AA98" i="46" s="1"/>
  <c r="M103" i="71"/>
  <c r="AF98" i="46" s="1"/>
  <c r="F130" i="70"/>
  <c r="I127" i="70"/>
  <c r="N130" i="70"/>
  <c r="D127" i="70"/>
  <c r="E100" i="71"/>
  <c r="I98" i="46" s="1"/>
  <c r="P103" i="71"/>
  <c r="AI98" i="46" s="1"/>
  <c r="R130" i="70"/>
  <c r="P100" i="71"/>
  <c r="T98" i="46" s="1"/>
  <c r="K103" i="71"/>
  <c r="AD98" i="46" s="1"/>
  <c r="I100" i="71"/>
  <c r="M98" i="46" s="1"/>
  <c r="G103" i="71"/>
  <c r="Z98" i="46" s="1"/>
  <c r="J127" i="70"/>
  <c r="E127" i="70"/>
  <c r="M130" i="70"/>
  <c r="H127" i="70"/>
  <c r="I103" i="71"/>
  <c r="AB98" i="46" s="1"/>
  <c r="N103" i="71"/>
  <c r="AG98" i="46" s="1"/>
  <c r="O100" i="71"/>
  <c r="S98" i="46" s="1"/>
  <c r="E103" i="71"/>
  <c r="X98" i="46" s="1"/>
  <c r="G127" i="70"/>
  <c r="G130" i="70"/>
  <c r="L127" i="70"/>
  <c r="I130" i="70"/>
  <c r="R100" i="71"/>
  <c r="V98" i="46" s="1"/>
  <c r="Q100" i="71"/>
  <c r="U98" i="46" s="1"/>
  <c r="D130" i="70"/>
  <c r="R127" i="70"/>
  <c r="F127" i="70"/>
  <c r="J100" i="71"/>
  <c r="N98" i="46" s="1"/>
  <c r="D100" i="71"/>
  <c r="H98" i="46" s="1"/>
  <c r="F100" i="71"/>
  <c r="J98" i="46" s="1"/>
  <c r="Q103" i="71"/>
  <c r="AJ98" i="46" s="1"/>
  <c r="P130" i="70"/>
  <c r="Q127" i="70"/>
  <c r="E130" i="70"/>
  <c r="K130" i="70"/>
  <c r="H100" i="71"/>
  <c r="L98" i="46" s="1"/>
  <c r="N100" i="71"/>
  <c r="R98" i="46" s="1"/>
  <c r="K100" i="71"/>
  <c r="O98" i="46" s="1"/>
  <c r="M100" i="71"/>
  <c r="Q98" i="46" s="1"/>
  <c r="J130" i="70"/>
  <c r="K127" i="70"/>
  <c r="P127" i="70"/>
  <c r="L100" i="71"/>
  <c r="P98" i="46" s="1"/>
  <c r="F103" i="71"/>
  <c r="Y98" i="46" s="1"/>
  <c r="G100" i="71"/>
  <c r="K98" i="46" s="1"/>
  <c r="M127" i="70"/>
  <c r="L130" i="70"/>
  <c r="E70" i="71"/>
  <c r="H81" i="71" s="1"/>
  <c r="H108" i="70"/>
  <c r="H110" i="70"/>
  <c r="G115" i="70" s="1"/>
  <c r="I109" i="70"/>
  <c r="F108" i="70"/>
  <c r="F115" i="70" s="1"/>
  <c r="D108" i="70"/>
  <c r="G108" i="70"/>
  <c r="I110" i="70"/>
  <c r="H115" i="70" s="1"/>
  <c r="H109" i="70"/>
  <c r="I108" i="70"/>
  <c r="E108" i="70"/>
  <c r="E115" i="70" s="1"/>
  <c r="D4" i="69"/>
  <c r="D58" i="69" s="1"/>
  <c r="B158" i="69"/>
  <c r="R38" i="69"/>
  <c r="Q38" i="69"/>
  <c r="P38" i="69"/>
  <c r="O38" i="69"/>
  <c r="N38" i="69"/>
  <c r="M38" i="69"/>
  <c r="L38" i="69"/>
  <c r="K38" i="69"/>
  <c r="J38" i="69"/>
  <c r="I38" i="69"/>
  <c r="H38" i="69"/>
  <c r="G38" i="69"/>
  <c r="F38" i="69"/>
  <c r="E38" i="69"/>
  <c r="D38" i="69"/>
  <c r="C37" i="69"/>
  <c r="C46" i="69" s="1"/>
  <c r="C55" i="69" s="1"/>
  <c r="D32" i="69"/>
  <c r="B31" i="69"/>
  <c r="R29" i="69"/>
  <c r="Q29" i="69"/>
  <c r="P29" i="69"/>
  <c r="O29" i="69"/>
  <c r="N29" i="69"/>
  <c r="M29" i="69"/>
  <c r="L29" i="69"/>
  <c r="K29" i="69"/>
  <c r="J29" i="69"/>
  <c r="I29" i="69"/>
  <c r="H29" i="69"/>
  <c r="G29" i="69"/>
  <c r="F29" i="69"/>
  <c r="E29" i="69"/>
  <c r="D29" i="69"/>
  <c r="C36" i="69"/>
  <c r="C45" i="69" s="1"/>
  <c r="C54" i="69" s="1"/>
  <c r="C35" i="69"/>
  <c r="C44" i="69" s="1"/>
  <c r="C53" i="69" s="1"/>
  <c r="C34" i="69"/>
  <c r="C43" i="69" s="1"/>
  <c r="C52" i="69" s="1"/>
  <c r="C24" i="69"/>
  <c r="C33" i="69" s="1"/>
  <c r="C42" i="69" s="1"/>
  <c r="C51" i="69" s="1"/>
  <c r="C22" i="69"/>
  <c r="C31" i="69" s="1"/>
  <c r="R20" i="69"/>
  <c r="Q20" i="69"/>
  <c r="P20" i="69"/>
  <c r="O20" i="69"/>
  <c r="N20" i="69"/>
  <c r="M20" i="69"/>
  <c r="L20" i="69"/>
  <c r="K20" i="69"/>
  <c r="J20" i="69"/>
  <c r="I20" i="69"/>
  <c r="H20" i="69"/>
  <c r="G20" i="69"/>
  <c r="F20" i="69"/>
  <c r="E20" i="69"/>
  <c r="D20" i="69"/>
  <c r="C15" i="69"/>
  <c r="C13" i="69"/>
  <c r="B13" i="69"/>
  <c r="R11" i="69"/>
  <c r="Q11" i="69"/>
  <c r="P11" i="69"/>
  <c r="O11" i="69"/>
  <c r="N11" i="69"/>
  <c r="M11" i="69"/>
  <c r="L11" i="69"/>
  <c r="K11" i="69"/>
  <c r="J11" i="69"/>
  <c r="I11" i="69"/>
  <c r="H11" i="69"/>
  <c r="G11" i="69"/>
  <c r="F11" i="69"/>
  <c r="E11" i="69"/>
  <c r="D11" i="69"/>
  <c r="C14" i="69"/>
  <c r="C41" i="55"/>
  <c r="C40" i="55"/>
  <c r="C25" i="55"/>
  <c r="C26" i="55"/>
  <c r="C23" i="55"/>
  <c r="C22" i="55"/>
  <c r="H82" i="71" l="1"/>
  <c r="I83" i="71"/>
  <c r="H88" i="71" s="1"/>
  <c r="I81" i="71"/>
  <c r="D81" i="71"/>
  <c r="E81" i="71"/>
  <c r="E88" i="71" s="1"/>
  <c r="F81" i="71"/>
  <c r="F88" i="71" s="1"/>
  <c r="I82" i="71"/>
  <c r="G81" i="71"/>
  <c r="H83" i="71"/>
  <c r="G88" i="71" s="1"/>
  <c r="H184" i="70"/>
  <c r="H182" i="70"/>
  <c r="H183" i="70"/>
  <c r="H180" i="70"/>
  <c r="H181" i="70"/>
  <c r="H185" i="70"/>
  <c r="E58" i="69"/>
  <c r="F58" i="69" s="1"/>
  <c r="G58" i="69" s="1"/>
  <c r="H58" i="69" s="1"/>
  <c r="I58" i="69" s="1"/>
  <c r="J58" i="69" s="1"/>
  <c r="K58" i="69" s="1"/>
  <c r="L58" i="69" s="1"/>
  <c r="M58" i="69" s="1"/>
  <c r="N58" i="69" s="1"/>
  <c r="O58" i="69" s="1"/>
  <c r="P58" i="69" s="1"/>
  <c r="Q58" i="69" s="1"/>
  <c r="R58" i="69" s="1"/>
  <c r="D67" i="69" s="1"/>
  <c r="E67" i="69" s="1"/>
  <c r="F67" i="69" s="1"/>
  <c r="G67" i="69" s="1"/>
  <c r="H67" i="69" s="1"/>
  <c r="I67" i="69" s="1"/>
  <c r="J67" i="69" s="1"/>
  <c r="K67" i="69" s="1"/>
  <c r="L67" i="69" s="1"/>
  <c r="M67" i="69" s="1"/>
  <c r="N67" i="69" s="1"/>
  <c r="O67" i="69" s="1"/>
  <c r="P67" i="69" s="1"/>
  <c r="Q67" i="69" s="1"/>
  <c r="R67" i="69" s="1"/>
  <c r="D76" i="69"/>
  <c r="C38" i="69"/>
  <c r="C20" i="69"/>
  <c r="D22" i="69"/>
  <c r="E4" i="69"/>
  <c r="C32" i="69"/>
  <c r="E84" i="55"/>
  <c r="E22" i="69" l="1"/>
  <c r="F22" i="69" s="1"/>
  <c r="G22" i="69" s="1"/>
  <c r="H22" i="69" s="1"/>
  <c r="I22" i="69" s="1"/>
  <c r="J22" i="69" s="1"/>
  <c r="K22" i="69" s="1"/>
  <c r="L22" i="69" s="1"/>
  <c r="M22" i="69" s="1"/>
  <c r="N22" i="69" s="1"/>
  <c r="O22" i="69" s="1"/>
  <c r="P22" i="69" s="1"/>
  <c r="Q22" i="69" s="1"/>
  <c r="R22" i="69" s="1"/>
  <c r="D31" i="69" s="1"/>
  <c r="E31" i="69" s="1"/>
  <c r="F31" i="69" s="1"/>
  <c r="G31" i="69" s="1"/>
  <c r="H31" i="69" s="1"/>
  <c r="I31" i="69" s="1"/>
  <c r="J31" i="69" s="1"/>
  <c r="K31" i="69" s="1"/>
  <c r="L31" i="69" s="1"/>
  <c r="M31" i="69" s="1"/>
  <c r="N31" i="69" s="1"/>
  <c r="O31" i="69" s="1"/>
  <c r="P31" i="69" s="1"/>
  <c r="Q31" i="69" s="1"/>
  <c r="R31" i="69" s="1"/>
  <c r="D40" i="69"/>
  <c r="E40" i="69" s="1"/>
  <c r="F40" i="69" s="1"/>
  <c r="G40" i="69" s="1"/>
  <c r="H40" i="69" s="1"/>
  <c r="I40" i="69" s="1"/>
  <c r="J40" i="69" s="1"/>
  <c r="K40" i="69" s="1"/>
  <c r="L40" i="69" s="1"/>
  <c r="M40" i="69" s="1"/>
  <c r="N40" i="69" s="1"/>
  <c r="O40" i="69" s="1"/>
  <c r="P40" i="69" s="1"/>
  <c r="Q40" i="69" s="1"/>
  <c r="R40" i="69" s="1"/>
  <c r="D49" i="69" s="1"/>
  <c r="E49" i="69" s="1"/>
  <c r="F49" i="69" s="1"/>
  <c r="G49" i="69" s="1"/>
  <c r="H49" i="69" s="1"/>
  <c r="I49" i="69" s="1"/>
  <c r="J49" i="69" s="1"/>
  <c r="K49" i="69" s="1"/>
  <c r="L49" i="69" s="1"/>
  <c r="M49" i="69" s="1"/>
  <c r="N49" i="69" s="1"/>
  <c r="O49" i="69" s="1"/>
  <c r="P49" i="69" s="1"/>
  <c r="Q49" i="69" s="1"/>
  <c r="R49" i="69" s="1"/>
  <c r="E76" i="69"/>
  <c r="F76" i="69" s="1"/>
  <c r="G76" i="69" s="1"/>
  <c r="H76" i="69" s="1"/>
  <c r="I76" i="69" s="1"/>
  <c r="J76" i="69" s="1"/>
  <c r="K76" i="69" s="1"/>
  <c r="L76" i="69" s="1"/>
  <c r="M76" i="69" s="1"/>
  <c r="N76" i="69" s="1"/>
  <c r="O76" i="69" s="1"/>
  <c r="P76" i="69" s="1"/>
  <c r="Q76" i="69" s="1"/>
  <c r="R76" i="69" s="1"/>
  <c r="D85" i="69" s="1"/>
  <c r="E85" i="69" s="1"/>
  <c r="F85" i="69" s="1"/>
  <c r="G85" i="69" s="1"/>
  <c r="H85" i="69" s="1"/>
  <c r="I85" i="69" s="1"/>
  <c r="J85" i="69" s="1"/>
  <c r="K85" i="69" s="1"/>
  <c r="L85" i="69" s="1"/>
  <c r="M85" i="69" s="1"/>
  <c r="N85" i="69" s="1"/>
  <c r="O85" i="69" s="1"/>
  <c r="P85" i="69" s="1"/>
  <c r="Q85" i="69" s="1"/>
  <c r="R85" i="69" s="1"/>
  <c r="D94" i="69"/>
  <c r="E94" i="69" s="1"/>
  <c r="F94" i="69" s="1"/>
  <c r="G94" i="69" s="1"/>
  <c r="H94" i="69" s="1"/>
  <c r="I94" i="69" s="1"/>
  <c r="J94" i="69" s="1"/>
  <c r="K94" i="69" s="1"/>
  <c r="L94" i="69" s="1"/>
  <c r="M94" i="69" s="1"/>
  <c r="N94" i="69" s="1"/>
  <c r="O94" i="69" s="1"/>
  <c r="P94" i="69" s="1"/>
  <c r="Q94" i="69" s="1"/>
  <c r="R94" i="69" s="1"/>
  <c r="D103" i="69" s="1"/>
  <c r="E103" i="69" s="1"/>
  <c r="F103" i="69" s="1"/>
  <c r="G103" i="69" s="1"/>
  <c r="H103" i="69" s="1"/>
  <c r="I103" i="69" s="1"/>
  <c r="J103" i="69" s="1"/>
  <c r="K103" i="69" s="1"/>
  <c r="L103" i="69" s="1"/>
  <c r="M103" i="69" s="1"/>
  <c r="N103" i="69" s="1"/>
  <c r="O103" i="69" s="1"/>
  <c r="P103" i="69" s="1"/>
  <c r="Q103" i="69" s="1"/>
  <c r="R103" i="69" s="1"/>
  <c r="F4" i="69"/>
  <c r="C37" i="17"/>
  <c r="G4" i="69" l="1"/>
  <c r="E83" i="53"/>
  <c r="C21" i="53"/>
  <c r="C22" i="53"/>
  <c r="C23" i="53"/>
  <c r="C20" i="53"/>
  <c r="C55" i="53"/>
  <c r="C64" i="53" s="1"/>
  <c r="C74" i="53" s="1"/>
  <c r="C83" i="53" s="1"/>
  <c r="C56" i="53"/>
  <c r="C65" i="53" s="1"/>
  <c r="C67" i="53"/>
  <c r="C77" i="53" s="1"/>
  <c r="C86" i="53" s="1"/>
  <c r="C46" i="53"/>
  <c r="C47" i="53"/>
  <c r="C75" i="53" l="1"/>
  <c r="C84" i="53" s="1"/>
  <c r="D36" i="53"/>
  <c r="D37" i="53"/>
  <c r="D40" i="53"/>
  <c r="E84" i="53"/>
  <c r="D38" i="53"/>
  <c r="H4" i="69"/>
  <c r="D58" i="53"/>
  <c r="D56" i="53"/>
  <c r="D55" i="53"/>
  <c r="I4" i="69" l="1"/>
  <c r="D77" i="53"/>
  <c r="D74" i="53"/>
  <c r="D75" i="53"/>
  <c r="J4" i="69" l="1"/>
  <c r="H37" i="6"/>
  <c r="H36" i="6"/>
  <c r="K4" i="69" l="1"/>
  <c r="L4" i="69" l="1"/>
  <c r="M4" i="69" l="1"/>
  <c r="C134" i="56"/>
  <c r="N4" i="69" l="1"/>
  <c r="O4" i="69" l="1"/>
  <c r="K49" i="46"/>
  <c r="L49" i="46" s="1"/>
  <c r="M49" i="46" s="1"/>
  <c r="P4" i="69" l="1"/>
  <c r="S72" i="24"/>
  <c r="R72" i="24"/>
  <c r="Q72" i="24"/>
  <c r="P72" i="24"/>
  <c r="O72" i="24"/>
  <c r="N72" i="24"/>
  <c r="M72" i="24"/>
  <c r="L72" i="24"/>
  <c r="K72" i="24"/>
  <c r="J72" i="24"/>
  <c r="I72" i="24"/>
  <c r="H72" i="24"/>
  <c r="G72" i="24"/>
  <c r="F72" i="24"/>
  <c r="E72" i="24"/>
  <c r="S59" i="24"/>
  <c r="R59" i="24"/>
  <c r="Q59" i="24"/>
  <c r="P59" i="24"/>
  <c r="O59" i="24"/>
  <c r="N59" i="24"/>
  <c r="M59" i="24"/>
  <c r="L59" i="24"/>
  <c r="K59" i="24"/>
  <c r="J59" i="24"/>
  <c r="I59" i="24"/>
  <c r="H59" i="24"/>
  <c r="G59" i="24"/>
  <c r="F59" i="24"/>
  <c r="E59" i="24"/>
  <c r="Q4" i="69" l="1"/>
  <c r="C29" i="53"/>
  <c r="C30" i="53"/>
  <c r="C31" i="53"/>
  <c r="C13" i="53"/>
  <c r="C14" i="53"/>
  <c r="C15" i="53"/>
  <c r="K67" i="46"/>
  <c r="K42" i="46"/>
  <c r="R4" i="69" l="1"/>
  <c r="C19" i="63"/>
  <c r="C27" i="63" s="1"/>
  <c r="D13" i="69" l="1"/>
  <c r="E13" i="69" s="1"/>
  <c r="F13" i="69" s="1"/>
  <c r="G13" i="69" s="1"/>
  <c r="H13" i="69" s="1"/>
  <c r="I13" i="69" s="1"/>
  <c r="J13" i="69" s="1"/>
  <c r="K13" i="69" s="1"/>
  <c r="L13" i="69" s="1"/>
  <c r="M13" i="69" s="1"/>
  <c r="N13" i="69" s="1"/>
  <c r="O13" i="69" s="1"/>
  <c r="P13" i="69" s="1"/>
  <c r="Q13" i="69" s="1"/>
  <c r="R13" i="69" s="1"/>
  <c r="C73" i="24"/>
  <c r="C72" i="24"/>
  <c r="C60" i="24"/>
  <c r="C59" i="24"/>
  <c r="C8" i="24" l="1"/>
  <c r="C34" i="24"/>
  <c r="C7" i="24"/>
  <c r="C33" i="24"/>
  <c r="C46" i="24"/>
  <c r="C20" i="24"/>
  <c r="C47" i="24"/>
  <c r="C21" i="24"/>
  <c r="I20" i="46"/>
  <c r="C5" i="58" l="1"/>
  <c r="C22" i="58" s="1"/>
  <c r="C4" i="58"/>
  <c r="C21" i="58" s="1"/>
  <c r="G36" i="6" l="1"/>
  <c r="B36" i="6"/>
  <c r="D38" i="6"/>
  <c r="E36" i="6"/>
  <c r="E37" i="6"/>
  <c r="B53" i="17" l="1"/>
  <c r="E82" i="53"/>
  <c r="E87" i="53" s="1"/>
  <c r="E73" i="53"/>
  <c r="F68" i="53"/>
  <c r="G68" i="53"/>
  <c r="H68" i="53"/>
  <c r="I68" i="53"/>
  <c r="J68" i="53"/>
  <c r="K68" i="53"/>
  <c r="L68" i="53"/>
  <c r="M68" i="53"/>
  <c r="N68" i="53"/>
  <c r="O68" i="53"/>
  <c r="P68" i="53"/>
  <c r="Q68" i="53"/>
  <c r="R68" i="53"/>
  <c r="S68" i="53"/>
  <c r="E68" i="53"/>
  <c r="F59" i="53"/>
  <c r="G59" i="53"/>
  <c r="H59" i="53"/>
  <c r="I59" i="53"/>
  <c r="J59" i="53"/>
  <c r="K59" i="53"/>
  <c r="L59" i="53"/>
  <c r="M59" i="53"/>
  <c r="N59" i="53"/>
  <c r="O59" i="53"/>
  <c r="P59" i="53"/>
  <c r="Q59" i="53"/>
  <c r="R59" i="53"/>
  <c r="S59" i="53"/>
  <c r="E59" i="53"/>
  <c r="D54" i="53"/>
  <c r="F50" i="53"/>
  <c r="G50" i="53"/>
  <c r="H50" i="53"/>
  <c r="I50" i="53"/>
  <c r="J50" i="53"/>
  <c r="K50" i="53"/>
  <c r="L50" i="53"/>
  <c r="M50" i="53"/>
  <c r="N50" i="53"/>
  <c r="O50" i="53"/>
  <c r="P50" i="53"/>
  <c r="Q50" i="53"/>
  <c r="R50" i="53"/>
  <c r="S50" i="53"/>
  <c r="E50" i="53"/>
  <c r="D41" i="53" l="1"/>
  <c r="C54" i="53"/>
  <c r="C63" i="53" s="1"/>
  <c r="C73" i="53" s="1"/>
  <c r="C82" i="53" s="1"/>
  <c r="C45" i="53"/>
  <c r="D73" i="53"/>
  <c r="F76" i="24"/>
  <c r="G76" i="24"/>
  <c r="H76" i="24"/>
  <c r="I76" i="24"/>
  <c r="J76" i="24"/>
  <c r="K76" i="24"/>
  <c r="L76" i="24"/>
  <c r="M76" i="24"/>
  <c r="N76" i="24"/>
  <c r="O76" i="24"/>
  <c r="P76" i="24"/>
  <c r="Q76" i="24"/>
  <c r="R76" i="24"/>
  <c r="S76" i="24"/>
  <c r="F77" i="24"/>
  <c r="G77" i="24"/>
  <c r="H77" i="24"/>
  <c r="I77" i="24"/>
  <c r="J77" i="24"/>
  <c r="K77" i="24"/>
  <c r="L77" i="24"/>
  <c r="M77" i="24"/>
  <c r="N77" i="24"/>
  <c r="O77" i="24"/>
  <c r="P77" i="24"/>
  <c r="Q77" i="24"/>
  <c r="R77" i="24"/>
  <c r="S77" i="24"/>
  <c r="E76" i="24"/>
  <c r="E77" i="24"/>
  <c r="F63" i="24"/>
  <c r="G63" i="24"/>
  <c r="H63" i="24"/>
  <c r="I63" i="24"/>
  <c r="J63" i="24"/>
  <c r="K63" i="24"/>
  <c r="L63" i="24"/>
  <c r="M63" i="24"/>
  <c r="N63" i="24"/>
  <c r="O63" i="24"/>
  <c r="P63" i="24"/>
  <c r="Q63" i="24"/>
  <c r="R63" i="24"/>
  <c r="S63" i="24"/>
  <c r="F64" i="24"/>
  <c r="G64" i="24"/>
  <c r="H64" i="24"/>
  <c r="I64" i="24"/>
  <c r="J64" i="24"/>
  <c r="K64" i="24"/>
  <c r="L64" i="24"/>
  <c r="M64" i="24"/>
  <c r="N64" i="24"/>
  <c r="O64" i="24"/>
  <c r="P64" i="24"/>
  <c r="Q64" i="24"/>
  <c r="R64" i="24"/>
  <c r="S64" i="24"/>
  <c r="E63" i="24"/>
  <c r="E64" i="24"/>
  <c r="D37" i="24"/>
  <c r="D38" i="24"/>
  <c r="D11" i="24"/>
  <c r="D12" i="24"/>
  <c r="C77" i="24"/>
  <c r="C64" i="24"/>
  <c r="C51" i="24"/>
  <c r="C38" i="24"/>
  <c r="C76" i="24"/>
  <c r="C63" i="24"/>
  <c r="C50" i="24"/>
  <c r="C37" i="24"/>
  <c r="C25" i="24"/>
  <c r="C24" i="24"/>
  <c r="C12" i="24"/>
  <c r="C11" i="24"/>
  <c r="D64" i="24" l="1"/>
  <c r="D63" i="24"/>
  <c r="C54" i="6" l="1"/>
  <c r="C20" i="6" l="1"/>
  <c r="C3" i="66" l="1"/>
  <c r="D3" i="66"/>
  <c r="B38" i="58"/>
  <c r="B37" i="58"/>
  <c r="B41" i="58"/>
  <c r="B36" i="58"/>
  <c r="E2" i="58"/>
  <c r="D3" i="58"/>
  <c r="C2" i="58"/>
  <c r="C17" i="58"/>
  <c r="C16" i="58"/>
  <c r="C15" i="58"/>
  <c r="C14" i="58"/>
  <c r="C13" i="58"/>
  <c r="C12" i="58"/>
  <c r="C6" i="58"/>
  <c r="C23" i="58" s="1"/>
  <c r="B148" i="52" l="1"/>
  <c r="B146" i="52"/>
  <c r="D143" i="52"/>
  <c r="D142" i="52"/>
  <c r="D141" i="52"/>
  <c r="D140" i="52"/>
  <c r="D139" i="52"/>
  <c r="D138" i="52"/>
  <c r="D137" i="52"/>
  <c r="D136" i="52"/>
  <c r="D135" i="52"/>
  <c r="D134" i="52"/>
  <c r="D133" i="52"/>
  <c r="D132" i="52"/>
  <c r="C141" i="52"/>
  <c r="C139" i="52"/>
  <c r="C135" i="52"/>
  <c r="C132" i="52"/>
  <c r="C131" i="52"/>
  <c r="C128" i="52"/>
  <c r="E114" i="52"/>
  <c r="D125" i="52"/>
  <c r="D124" i="52"/>
  <c r="D123" i="52"/>
  <c r="B123" i="52"/>
  <c r="B122" i="52"/>
  <c r="B121" i="52"/>
  <c r="B120" i="52"/>
  <c r="B119" i="52"/>
  <c r="B118" i="52"/>
  <c r="B117" i="52"/>
  <c r="B116" i="52"/>
  <c r="B115" i="52"/>
  <c r="B114" i="52"/>
  <c r="B113" i="52"/>
  <c r="C110" i="52"/>
  <c r="C109" i="52"/>
  <c r="C108" i="52"/>
  <c r="C107" i="52"/>
  <c r="C106" i="52"/>
  <c r="B105" i="52"/>
  <c r="C104" i="52"/>
  <c r="C102" i="52"/>
  <c r="C95" i="52"/>
  <c r="C99" i="52" s="1"/>
  <c r="C94" i="52"/>
  <c r="C98" i="52" s="1"/>
  <c r="C93" i="52"/>
  <c r="C97" i="52" s="1"/>
  <c r="C90" i="52"/>
  <c r="C89" i="52"/>
  <c r="C88" i="52"/>
  <c r="C87" i="52"/>
  <c r="C86" i="52"/>
  <c r="C85" i="52"/>
  <c r="B84" i="52"/>
  <c r="C83" i="52"/>
  <c r="C82" i="52"/>
  <c r="C81" i="52"/>
  <c r="C80" i="52"/>
  <c r="C79" i="52"/>
  <c r="C78" i="52"/>
  <c r="C77" i="52"/>
  <c r="C76" i="52"/>
  <c r="C75" i="52"/>
  <c r="C74" i="52"/>
  <c r="C73" i="52"/>
  <c r="C72" i="52"/>
  <c r="C71" i="52"/>
  <c r="B70" i="52"/>
  <c r="B64" i="52"/>
  <c r="B96" i="52" s="1"/>
  <c r="B103" i="52" s="1"/>
  <c r="C63" i="52"/>
  <c r="C69" i="52" s="1"/>
  <c r="C62" i="52"/>
  <c r="C68" i="52" s="1"/>
  <c r="C61" i="52"/>
  <c r="C67" i="52" s="1"/>
  <c r="C60" i="52"/>
  <c r="C66" i="52" s="1"/>
  <c r="C59" i="52"/>
  <c r="C65" i="52" s="1"/>
  <c r="C54" i="52"/>
  <c r="B58" i="52"/>
  <c r="B92" i="52" s="1"/>
  <c r="B101" i="52" s="1"/>
  <c r="C34" i="58" l="1"/>
  <c r="C33" i="58"/>
  <c r="C32" i="58"/>
  <c r="C31" i="58"/>
  <c r="C30" i="58"/>
  <c r="C29" i="58"/>
  <c r="C28" i="58"/>
  <c r="C19" i="58"/>
  <c r="B19" i="58"/>
  <c r="D16" i="58"/>
  <c r="G16" i="58" s="1"/>
  <c r="F2" i="58"/>
  <c r="L110" i="52"/>
  <c r="L109" i="52"/>
  <c r="L108" i="52"/>
  <c r="L107" i="52"/>
  <c r="L106" i="52"/>
  <c r="L104" i="52"/>
  <c r="L102" i="52"/>
  <c r="L99" i="52"/>
  <c r="L98" i="52"/>
  <c r="L97" i="52"/>
  <c r="L95" i="52"/>
  <c r="L94" i="52"/>
  <c r="L93" i="52"/>
  <c r="L90" i="52"/>
  <c r="L89" i="52"/>
  <c r="L88" i="52"/>
  <c r="L87" i="52"/>
  <c r="L86" i="52"/>
  <c r="L85" i="52"/>
  <c r="L83" i="52"/>
  <c r="L82" i="52"/>
  <c r="L81" i="52"/>
  <c r="L80" i="52"/>
  <c r="L79" i="52"/>
  <c r="L78" i="52"/>
  <c r="L77" i="52"/>
  <c r="L76" i="52"/>
  <c r="L75" i="52"/>
  <c r="L74" i="52"/>
  <c r="L73" i="52"/>
  <c r="L72" i="52"/>
  <c r="L71" i="52"/>
  <c r="L69" i="52"/>
  <c r="L68" i="52"/>
  <c r="L67" i="52"/>
  <c r="L66" i="52"/>
  <c r="L65" i="52"/>
  <c r="L63" i="52"/>
  <c r="L62" i="52"/>
  <c r="L61" i="52"/>
  <c r="L60" i="52"/>
  <c r="L59" i="52"/>
  <c r="L51" i="52"/>
  <c r="C51" i="52"/>
  <c r="L50" i="52"/>
  <c r="C50" i="52"/>
  <c r="L49" i="52"/>
  <c r="C49" i="52"/>
  <c r="L48" i="52"/>
  <c r="C48" i="52"/>
  <c r="L47" i="52"/>
  <c r="C47" i="52"/>
  <c r="L46" i="52"/>
  <c r="C46" i="52"/>
  <c r="L45" i="52"/>
  <c r="C45" i="52"/>
  <c r="L44" i="52"/>
  <c r="C44" i="52"/>
  <c r="L43" i="52"/>
  <c r="C43" i="52"/>
  <c r="L42" i="52"/>
  <c r="C42" i="52"/>
  <c r="L41" i="52"/>
  <c r="C41" i="52"/>
  <c r="L40" i="52"/>
  <c r="C40" i="52"/>
  <c r="L39" i="52"/>
  <c r="C39" i="52"/>
  <c r="L38" i="52"/>
  <c r="C38" i="52"/>
  <c r="L37" i="52"/>
  <c r="C37" i="52"/>
  <c r="B36" i="52"/>
  <c r="B100" i="52" s="1"/>
  <c r="L35" i="52"/>
  <c r="C35" i="52"/>
  <c r="L34" i="52"/>
  <c r="C34" i="52"/>
  <c r="L33" i="52"/>
  <c r="C33" i="52"/>
  <c r="L32" i="52"/>
  <c r="C32" i="52"/>
  <c r="L31" i="52"/>
  <c r="C31" i="52"/>
  <c r="L30" i="52"/>
  <c r="C30" i="52"/>
  <c r="L29" i="52"/>
  <c r="C29" i="52"/>
  <c r="L28" i="52"/>
  <c r="C28" i="52"/>
  <c r="L27" i="52"/>
  <c r="C27" i="52"/>
  <c r="L26" i="52"/>
  <c r="C26" i="52"/>
  <c r="L25" i="52"/>
  <c r="C25" i="52"/>
  <c r="L24" i="52"/>
  <c r="C24" i="52"/>
  <c r="B23" i="52"/>
  <c r="B91" i="52" s="1"/>
  <c r="L22" i="52"/>
  <c r="C22" i="52"/>
  <c r="L21" i="52"/>
  <c r="C21" i="52"/>
  <c r="L20" i="52"/>
  <c r="C20" i="52"/>
  <c r="L19" i="52"/>
  <c r="C19" i="52"/>
  <c r="B19" i="52"/>
  <c r="B32" i="52" s="1"/>
  <c r="B48" i="52" s="1"/>
  <c r="L18" i="52"/>
  <c r="C18" i="52"/>
  <c r="L17" i="52"/>
  <c r="C17" i="52"/>
  <c r="L16" i="52"/>
  <c r="C16" i="52"/>
  <c r="L15" i="52"/>
  <c r="C15" i="52"/>
  <c r="L14" i="52"/>
  <c r="C14" i="52"/>
  <c r="L13" i="52"/>
  <c r="C13" i="52"/>
  <c r="L12" i="52"/>
  <c r="C12" i="52"/>
  <c r="L11" i="52"/>
  <c r="C11" i="52"/>
  <c r="L10" i="52"/>
  <c r="C10" i="52"/>
  <c r="L9" i="52"/>
  <c r="C9" i="52"/>
  <c r="L8" i="52"/>
  <c r="C8" i="52"/>
  <c r="L7" i="52"/>
  <c r="C7" i="52"/>
  <c r="L6" i="52"/>
  <c r="C6" i="52"/>
  <c r="B6" i="52"/>
  <c r="B24" i="52" s="1"/>
  <c r="B37" i="52" s="1"/>
  <c r="B5" i="52"/>
  <c r="B57" i="52" s="1"/>
  <c r="I4" i="52"/>
  <c r="I56" i="52" s="1"/>
  <c r="H4" i="52"/>
  <c r="H56" i="52" s="1"/>
  <c r="G4" i="52"/>
  <c r="G56" i="52" s="1"/>
  <c r="F4" i="52"/>
  <c r="F56" i="52" s="1"/>
  <c r="E4" i="52"/>
  <c r="E56" i="52" s="1"/>
  <c r="K3" i="52"/>
  <c r="K55" i="52" s="1"/>
  <c r="J3" i="52"/>
  <c r="J55" i="52" s="1"/>
  <c r="G3" i="52"/>
  <c r="G55" i="52" s="1"/>
  <c r="E3" i="52"/>
  <c r="E55" i="52" s="1"/>
  <c r="L2" i="52"/>
  <c r="L54" i="52" s="1"/>
  <c r="E2" i="52"/>
  <c r="E54" i="52" s="1"/>
  <c r="D2" i="52"/>
  <c r="D54" i="52" s="1"/>
  <c r="C2" i="52"/>
  <c r="B47" i="17"/>
  <c r="B46" i="17"/>
  <c r="C32" i="17"/>
  <c r="C10" i="17"/>
  <c r="C31" i="17" s="1"/>
  <c r="C9" i="17"/>
  <c r="C30" i="17" s="1"/>
  <c r="C8" i="17"/>
  <c r="C29" i="17" s="1"/>
  <c r="C7" i="17"/>
  <c r="C28" i="17" s="1"/>
  <c r="C6" i="17"/>
  <c r="C27" i="17" s="1"/>
  <c r="C5" i="17"/>
  <c r="C26" i="17" s="1"/>
  <c r="C4" i="17"/>
  <c r="C25" i="17" s="1"/>
  <c r="D3" i="17"/>
  <c r="E2" i="17"/>
  <c r="C23" i="17"/>
  <c r="B39" i="63"/>
  <c r="C36" i="63"/>
  <c r="I33" i="63"/>
  <c r="S32" i="63"/>
  <c r="R32" i="63"/>
  <c r="Q32" i="63"/>
  <c r="P32" i="63"/>
  <c r="O32" i="63"/>
  <c r="N32" i="63"/>
  <c r="M32" i="63"/>
  <c r="L32" i="63"/>
  <c r="K32" i="63"/>
  <c r="J32" i="63"/>
  <c r="I32" i="63"/>
  <c r="H32" i="63"/>
  <c r="G32" i="63"/>
  <c r="F32" i="63"/>
  <c r="E32" i="63"/>
  <c r="S31" i="63"/>
  <c r="R31" i="63"/>
  <c r="Q31" i="63"/>
  <c r="P31" i="63"/>
  <c r="O31" i="63"/>
  <c r="N31" i="63"/>
  <c r="M31" i="63"/>
  <c r="L31" i="63"/>
  <c r="K31" i="63"/>
  <c r="J31" i="63"/>
  <c r="I31" i="63"/>
  <c r="H31" i="63"/>
  <c r="G31" i="63"/>
  <c r="F31" i="63"/>
  <c r="E31" i="63"/>
  <c r="S30" i="63"/>
  <c r="R30" i="63"/>
  <c r="Q30" i="63"/>
  <c r="P30" i="63"/>
  <c r="O30" i="63"/>
  <c r="N30" i="63"/>
  <c r="M30" i="63"/>
  <c r="L30" i="63"/>
  <c r="L33" i="63" s="1"/>
  <c r="K30" i="63"/>
  <c r="J30" i="63"/>
  <c r="I30" i="63"/>
  <c r="H30" i="63"/>
  <c r="G30" i="63"/>
  <c r="F30" i="63"/>
  <c r="E30" i="63"/>
  <c r="S29" i="63"/>
  <c r="S33" i="63" s="1"/>
  <c r="R29" i="63"/>
  <c r="R33" i="63" s="1"/>
  <c r="Q29" i="63"/>
  <c r="Q33" i="63" s="1"/>
  <c r="P29" i="63"/>
  <c r="O29" i="63"/>
  <c r="N29" i="63"/>
  <c r="N33" i="63" s="1"/>
  <c r="M29" i="63"/>
  <c r="L29" i="63"/>
  <c r="K29" i="63"/>
  <c r="J29" i="63"/>
  <c r="J33" i="63" s="1"/>
  <c r="I29" i="63"/>
  <c r="H29" i="63"/>
  <c r="G29" i="63"/>
  <c r="F29" i="63"/>
  <c r="F33" i="63" s="1"/>
  <c r="E29" i="63"/>
  <c r="S24" i="63"/>
  <c r="R24" i="63"/>
  <c r="Q24" i="63"/>
  <c r="P24" i="63"/>
  <c r="O24" i="63"/>
  <c r="N24" i="63"/>
  <c r="M24" i="63"/>
  <c r="L24" i="63"/>
  <c r="K24" i="63"/>
  <c r="J24" i="63"/>
  <c r="I24" i="63"/>
  <c r="H24" i="63"/>
  <c r="G24" i="63"/>
  <c r="F24" i="63"/>
  <c r="E24" i="63"/>
  <c r="C24" i="63"/>
  <c r="S23" i="63"/>
  <c r="R23" i="63"/>
  <c r="Q23" i="63"/>
  <c r="P23" i="63"/>
  <c r="O23" i="63"/>
  <c r="N23" i="63"/>
  <c r="M23" i="63"/>
  <c r="L23" i="63"/>
  <c r="K23" i="63"/>
  <c r="J23" i="63"/>
  <c r="I23" i="63"/>
  <c r="H23" i="63"/>
  <c r="G23" i="63"/>
  <c r="F23" i="63"/>
  <c r="E23" i="63"/>
  <c r="C23" i="63"/>
  <c r="S22" i="63"/>
  <c r="R22" i="63"/>
  <c r="Q22" i="63"/>
  <c r="P22" i="63"/>
  <c r="O22" i="63"/>
  <c r="N22" i="63"/>
  <c r="M22" i="63"/>
  <c r="L22" i="63"/>
  <c r="K22" i="63"/>
  <c r="J22" i="63"/>
  <c r="I22" i="63"/>
  <c r="H22" i="63"/>
  <c r="H25" i="63" s="1"/>
  <c r="G22" i="63"/>
  <c r="F22" i="63"/>
  <c r="E22" i="63"/>
  <c r="C22" i="63"/>
  <c r="S21" i="63"/>
  <c r="S25" i="63" s="1"/>
  <c r="R21" i="63"/>
  <c r="Q21" i="63"/>
  <c r="Q25" i="63" s="1"/>
  <c r="P21" i="63"/>
  <c r="O21" i="63"/>
  <c r="O25" i="63" s="1"/>
  <c r="N21" i="63"/>
  <c r="N25" i="63" s="1"/>
  <c r="M21" i="63"/>
  <c r="M25" i="63" s="1"/>
  <c r="L21" i="63"/>
  <c r="L25" i="63" s="1"/>
  <c r="K21" i="63"/>
  <c r="K25" i="63" s="1"/>
  <c r="J21" i="63"/>
  <c r="I21" i="63"/>
  <c r="I25" i="63" s="1"/>
  <c r="H21" i="63"/>
  <c r="G21" i="63"/>
  <c r="G25" i="63" s="1"/>
  <c r="F21" i="63"/>
  <c r="F25" i="63" s="1"/>
  <c r="E21" i="63"/>
  <c r="E25" i="63" s="1"/>
  <c r="C21" i="63"/>
  <c r="S16" i="63"/>
  <c r="R16" i="63"/>
  <c r="Q16" i="63"/>
  <c r="P16" i="63"/>
  <c r="O16" i="63"/>
  <c r="N16" i="63"/>
  <c r="M16" i="63"/>
  <c r="L16" i="63"/>
  <c r="K16" i="63"/>
  <c r="J16" i="63"/>
  <c r="I16" i="63"/>
  <c r="H16" i="63"/>
  <c r="G16" i="63"/>
  <c r="F16" i="63"/>
  <c r="E16" i="63"/>
  <c r="C15" i="63"/>
  <c r="C32" i="63" s="1"/>
  <c r="C14" i="63"/>
  <c r="C31" i="63" s="1"/>
  <c r="C13" i="63"/>
  <c r="C30" i="63" s="1"/>
  <c r="C12" i="63"/>
  <c r="C29" i="63" s="1"/>
  <c r="S8" i="63"/>
  <c r="R8" i="63"/>
  <c r="Q8" i="63"/>
  <c r="P8" i="63"/>
  <c r="O8" i="63"/>
  <c r="N8" i="63"/>
  <c r="M8" i="63"/>
  <c r="L8" i="63"/>
  <c r="K8" i="63"/>
  <c r="J8" i="63"/>
  <c r="I8" i="63"/>
  <c r="H8" i="63"/>
  <c r="G8" i="63"/>
  <c r="F8" i="63"/>
  <c r="E8" i="63"/>
  <c r="C8" i="63"/>
  <c r="C16" i="63" s="1"/>
  <c r="C33" i="63" s="1"/>
  <c r="D7" i="63"/>
  <c r="D6" i="63"/>
  <c r="D5" i="63"/>
  <c r="D4" i="63"/>
  <c r="D3" i="63"/>
  <c r="D20" i="63" s="1"/>
  <c r="C3" i="63"/>
  <c r="B112" i="22"/>
  <c r="C109" i="22"/>
  <c r="B109" i="22"/>
  <c r="C108" i="22"/>
  <c r="B108" i="22"/>
  <c r="C107" i="22"/>
  <c r="B107" i="22"/>
  <c r="C106" i="22"/>
  <c r="B106" i="22"/>
  <c r="C105" i="22"/>
  <c r="B105" i="22"/>
  <c r="C104" i="22"/>
  <c r="B104" i="22"/>
  <c r="C103" i="22"/>
  <c r="B103" i="22"/>
  <c r="C102" i="22"/>
  <c r="B102" i="22"/>
  <c r="C101" i="22"/>
  <c r="B101" i="22"/>
  <c r="C100" i="22"/>
  <c r="B100" i="22"/>
  <c r="C99" i="22"/>
  <c r="B99" i="22"/>
  <c r="C98" i="22"/>
  <c r="B98" i="22"/>
  <c r="B96" i="22"/>
  <c r="D93" i="22"/>
  <c r="D92" i="22"/>
  <c r="D91" i="22"/>
  <c r="D90" i="22"/>
  <c r="D89" i="22"/>
  <c r="D88" i="22"/>
  <c r="D87" i="22"/>
  <c r="D86" i="22"/>
  <c r="D85" i="22"/>
  <c r="D84" i="22"/>
  <c r="D83" i="22"/>
  <c r="D82" i="22"/>
  <c r="C77" i="22"/>
  <c r="B77" i="22"/>
  <c r="C76" i="22"/>
  <c r="B76" i="22"/>
  <c r="C75" i="22"/>
  <c r="B75" i="22"/>
  <c r="C74" i="22"/>
  <c r="B74" i="22"/>
  <c r="C73" i="22"/>
  <c r="B73" i="22"/>
  <c r="C72" i="22"/>
  <c r="B72" i="22"/>
  <c r="C71" i="22"/>
  <c r="B71" i="22"/>
  <c r="C70" i="22"/>
  <c r="B70" i="22"/>
  <c r="C69" i="22"/>
  <c r="B69" i="22"/>
  <c r="C68" i="22"/>
  <c r="B68" i="22"/>
  <c r="C67" i="22"/>
  <c r="B67" i="22"/>
  <c r="C66" i="22"/>
  <c r="B66" i="22"/>
  <c r="B64" i="22"/>
  <c r="D61" i="22"/>
  <c r="D60" i="22"/>
  <c r="D59" i="22"/>
  <c r="D58" i="22"/>
  <c r="D57" i="22"/>
  <c r="D56" i="22"/>
  <c r="D55" i="22"/>
  <c r="D54" i="22"/>
  <c r="D53" i="22"/>
  <c r="D52" i="22"/>
  <c r="D51" i="22"/>
  <c r="D50" i="22"/>
  <c r="C48" i="22"/>
  <c r="C64" i="22" s="1"/>
  <c r="C80" i="22" s="1"/>
  <c r="C96" i="22" s="1"/>
  <c r="C45" i="22"/>
  <c r="C44" i="22"/>
  <c r="C43" i="22"/>
  <c r="S40" i="22"/>
  <c r="R40" i="22"/>
  <c r="Q40" i="22"/>
  <c r="P40" i="22"/>
  <c r="O40" i="22"/>
  <c r="N40" i="22"/>
  <c r="M40" i="22"/>
  <c r="L40" i="22"/>
  <c r="K40" i="22"/>
  <c r="J40" i="22"/>
  <c r="I40" i="22"/>
  <c r="H40" i="22"/>
  <c r="G40" i="22"/>
  <c r="F40" i="22"/>
  <c r="E40" i="22"/>
  <c r="S39" i="22"/>
  <c r="R39" i="22"/>
  <c r="Q39" i="22"/>
  <c r="P39" i="22"/>
  <c r="O39" i="22"/>
  <c r="N39" i="22"/>
  <c r="M39" i="22"/>
  <c r="L39" i="22"/>
  <c r="K39" i="22"/>
  <c r="J39" i="22"/>
  <c r="I39" i="22"/>
  <c r="H39" i="22"/>
  <c r="G39" i="22"/>
  <c r="F39" i="22"/>
  <c r="E39" i="22"/>
  <c r="S34" i="22"/>
  <c r="R34" i="22"/>
  <c r="Q34" i="22"/>
  <c r="P34" i="22"/>
  <c r="O34" i="22"/>
  <c r="N34" i="22"/>
  <c r="M34" i="22"/>
  <c r="L34" i="22"/>
  <c r="K34" i="22"/>
  <c r="J34" i="22"/>
  <c r="I34" i="22"/>
  <c r="H34" i="22"/>
  <c r="G34" i="22"/>
  <c r="F34" i="22"/>
  <c r="E34" i="22"/>
  <c r="S33" i="22"/>
  <c r="R33" i="22"/>
  <c r="Q33" i="22"/>
  <c r="P33" i="22"/>
  <c r="O33" i="22"/>
  <c r="N33" i="22"/>
  <c r="M33" i="22"/>
  <c r="L33" i="22"/>
  <c r="K33" i="22"/>
  <c r="J33" i="22"/>
  <c r="I33" i="22"/>
  <c r="H33" i="22"/>
  <c r="G33" i="22"/>
  <c r="F33" i="22"/>
  <c r="E33" i="22"/>
  <c r="S32" i="22"/>
  <c r="R32" i="22"/>
  <c r="Q32" i="22"/>
  <c r="P32" i="22"/>
  <c r="O32" i="22"/>
  <c r="N32" i="22"/>
  <c r="M32" i="22"/>
  <c r="L32" i="22"/>
  <c r="K32" i="22"/>
  <c r="J32" i="22"/>
  <c r="I32" i="22"/>
  <c r="H32" i="22"/>
  <c r="G32" i="22"/>
  <c r="F32" i="22"/>
  <c r="E32" i="22"/>
  <c r="C31" i="22"/>
  <c r="C38" i="22" s="1"/>
  <c r="C30" i="22"/>
  <c r="C35" i="22" s="1"/>
  <c r="C41" i="22" s="1"/>
  <c r="S28" i="22"/>
  <c r="R28" i="22"/>
  <c r="Q28" i="22"/>
  <c r="P28" i="22"/>
  <c r="O28" i="22"/>
  <c r="N28" i="22"/>
  <c r="M28" i="22"/>
  <c r="L28" i="22"/>
  <c r="K28" i="22"/>
  <c r="J28" i="22"/>
  <c r="I28" i="22"/>
  <c r="H28" i="22"/>
  <c r="G28" i="22"/>
  <c r="F28" i="22"/>
  <c r="E28" i="22"/>
  <c r="S21" i="22"/>
  <c r="R21" i="22"/>
  <c r="Q21" i="22"/>
  <c r="P21" i="22"/>
  <c r="O21" i="22"/>
  <c r="N21" i="22"/>
  <c r="M21" i="22"/>
  <c r="L21" i="22"/>
  <c r="K21" i="22"/>
  <c r="J21" i="22"/>
  <c r="I21" i="22"/>
  <c r="H21" i="22"/>
  <c r="G21" i="22"/>
  <c r="F21" i="22"/>
  <c r="E21" i="22"/>
  <c r="D20" i="22"/>
  <c r="D19" i="22"/>
  <c r="D18" i="22"/>
  <c r="C17" i="22"/>
  <c r="C24" i="22" s="1"/>
  <c r="C81" i="22" s="1"/>
  <c r="C97" i="22" s="1"/>
  <c r="S14" i="22"/>
  <c r="R14" i="22"/>
  <c r="Q14" i="22"/>
  <c r="P14" i="22"/>
  <c r="O14" i="22"/>
  <c r="N14" i="22"/>
  <c r="M14" i="22"/>
  <c r="L14" i="22"/>
  <c r="K14" i="22"/>
  <c r="J14" i="22"/>
  <c r="I14" i="22"/>
  <c r="H14" i="22"/>
  <c r="G14" i="22"/>
  <c r="F14" i="22"/>
  <c r="E14" i="22"/>
  <c r="S7" i="22"/>
  <c r="R7" i="22"/>
  <c r="Q7" i="22"/>
  <c r="P7" i="22"/>
  <c r="O7" i="22"/>
  <c r="N7" i="22"/>
  <c r="M7" i="22"/>
  <c r="L7" i="22"/>
  <c r="K7" i="22"/>
  <c r="J7" i="22"/>
  <c r="I7" i="22"/>
  <c r="H7" i="22"/>
  <c r="G7" i="22"/>
  <c r="F7" i="22"/>
  <c r="E7" i="22"/>
  <c r="C7" i="22"/>
  <c r="C14" i="22" s="1"/>
  <c r="C21" i="22" s="1"/>
  <c r="C28" i="22" s="1"/>
  <c r="D6" i="22"/>
  <c r="C13" i="22"/>
  <c r="C20" i="22" s="1"/>
  <c r="C27" i="22" s="1"/>
  <c r="C34" i="22" s="1"/>
  <c r="C40" i="22" s="1"/>
  <c r="D5" i="22"/>
  <c r="C5" i="22"/>
  <c r="C12" i="22" s="1"/>
  <c r="C19" i="22" s="1"/>
  <c r="C26" i="22" s="1"/>
  <c r="C33" i="22" s="1"/>
  <c r="D4" i="22"/>
  <c r="C11" i="22"/>
  <c r="C18" i="22" s="1"/>
  <c r="C25" i="22" s="1"/>
  <c r="C32" i="22" s="1"/>
  <c r="C39" i="22" s="1"/>
  <c r="D3" i="22"/>
  <c r="D17" i="22" s="1"/>
  <c r="D31" i="22" s="1"/>
  <c r="D49" i="22" s="1"/>
  <c r="D81" i="22" s="1"/>
  <c r="C3" i="22"/>
  <c r="C10" i="22" s="1"/>
  <c r="C49" i="22" s="1"/>
  <c r="C65" i="22" s="1"/>
  <c r="E2" i="22"/>
  <c r="E48" i="22" s="1"/>
  <c r="F48" i="22" s="1"/>
  <c r="G48" i="22" s="1"/>
  <c r="H48" i="22" s="1"/>
  <c r="I48" i="22" s="1"/>
  <c r="J48" i="22" s="1"/>
  <c r="K48" i="22" s="1"/>
  <c r="L48" i="22" s="1"/>
  <c r="M48" i="22" s="1"/>
  <c r="N48" i="22" s="1"/>
  <c r="O48" i="22" s="1"/>
  <c r="P48" i="22" s="1"/>
  <c r="Q48" i="22" s="1"/>
  <c r="R48" i="22" s="1"/>
  <c r="S48" i="22" s="1"/>
  <c r="E64" i="22" s="1"/>
  <c r="F64" i="22" s="1"/>
  <c r="G64" i="22" s="1"/>
  <c r="H64" i="22" s="1"/>
  <c r="I64" i="22" s="1"/>
  <c r="J64" i="22" s="1"/>
  <c r="K64" i="22" s="1"/>
  <c r="L64" i="22" s="1"/>
  <c r="M64" i="22" s="1"/>
  <c r="N64" i="22" s="1"/>
  <c r="O64" i="22" s="1"/>
  <c r="P64" i="22" s="1"/>
  <c r="Q64" i="22" s="1"/>
  <c r="R64" i="22" s="1"/>
  <c r="S64" i="22" s="1"/>
  <c r="C2" i="22"/>
  <c r="C9" i="22" s="1"/>
  <c r="C16" i="22" s="1"/>
  <c r="C23" i="22" s="1"/>
  <c r="B163" i="56"/>
  <c r="B157" i="56"/>
  <c r="C155" i="56"/>
  <c r="C160" i="56" s="1"/>
  <c r="C154" i="56"/>
  <c r="C159" i="56" s="1"/>
  <c r="D153" i="56"/>
  <c r="D158" i="56" s="1"/>
  <c r="C152" i="56"/>
  <c r="C157" i="56" s="1"/>
  <c r="C135" i="56"/>
  <c r="C133" i="56"/>
  <c r="C132" i="56"/>
  <c r="C131" i="56"/>
  <c r="D130" i="56"/>
  <c r="C129" i="56"/>
  <c r="C128" i="56"/>
  <c r="C127" i="56"/>
  <c r="C125" i="56"/>
  <c r="C124" i="56"/>
  <c r="C123" i="56"/>
  <c r="C117" i="56"/>
  <c r="C114" i="56"/>
  <c r="F113" i="56"/>
  <c r="C112" i="56"/>
  <c r="C111" i="56"/>
  <c r="C108" i="56"/>
  <c r="I107" i="56"/>
  <c r="C107" i="56"/>
  <c r="D106" i="56"/>
  <c r="C105" i="56"/>
  <c r="I104" i="56"/>
  <c r="C104" i="56"/>
  <c r="C102" i="56"/>
  <c r="D101" i="56"/>
  <c r="D124" i="56" s="1"/>
  <c r="C101" i="56"/>
  <c r="C100" i="56"/>
  <c r="C97" i="56"/>
  <c r="C109" i="56" s="1"/>
  <c r="C120" i="56" s="1"/>
  <c r="D96" i="56"/>
  <c r="D119" i="56" s="1"/>
  <c r="D95" i="56"/>
  <c r="D94" i="56"/>
  <c r="D118" i="56" s="1"/>
  <c r="D93" i="56"/>
  <c r="D117" i="56" s="1"/>
  <c r="C93" i="56"/>
  <c r="D92" i="56"/>
  <c r="D116" i="56" s="1"/>
  <c r="D91" i="56"/>
  <c r="D90" i="56"/>
  <c r="D115" i="56" s="1"/>
  <c r="D89" i="56"/>
  <c r="D114" i="56" s="1"/>
  <c r="C89" i="56"/>
  <c r="F88" i="56"/>
  <c r="E139" i="56" s="1"/>
  <c r="E87" i="56"/>
  <c r="E112" i="56" s="1"/>
  <c r="D87" i="56"/>
  <c r="D112" i="56" s="1"/>
  <c r="C87" i="56"/>
  <c r="C86" i="56"/>
  <c r="C84" i="56"/>
  <c r="F83" i="56"/>
  <c r="C83" i="56"/>
  <c r="C82" i="56"/>
  <c r="C81" i="56"/>
  <c r="F80" i="56"/>
  <c r="C80" i="56"/>
  <c r="E79" i="56"/>
  <c r="E75" i="56" s="1"/>
  <c r="C79" i="56"/>
  <c r="D88" i="56" s="1"/>
  <c r="C106" i="56" s="1"/>
  <c r="F78" i="56"/>
  <c r="I101" i="56" s="1"/>
  <c r="J124" i="56" s="1"/>
  <c r="D78" i="56"/>
  <c r="C78" i="56"/>
  <c r="C77" i="56"/>
  <c r="E65" i="56"/>
  <c r="C62" i="56"/>
  <c r="C68" i="56" s="1"/>
  <c r="B60" i="56"/>
  <c r="B66" i="56" s="1"/>
  <c r="C58" i="56"/>
  <c r="C64" i="56" s="1"/>
  <c r="E45" i="56"/>
  <c r="C31" i="56"/>
  <c r="C45" i="56" s="1"/>
  <c r="C14" i="56"/>
  <c r="C28" i="56" s="1"/>
  <c r="C42" i="56" s="1"/>
  <c r="C56" i="56" s="1"/>
  <c r="C13" i="56"/>
  <c r="C12" i="56"/>
  <c r="B26" i="56"/>
  <c r="B40" i="56" s="1"/>
  <c r="B54" i="56" s="1"/>
  <c r="C11" i="56"/>
  <c r="C10" i="56"/>
  <c r="B24" i="56"/>
  <c r="B38" i="56" s="1"/>
  <c r="B52" i="56" s="1"/>
  <c r="C9" i="56"/>
  <c r="C8" i="56"/>
  <c r="B22" i="56"/>
  <c r="B36" i="56" s="1"/>
  <c r="B50" i="56" s="1"/>
  <c r="C7" i="56"/>
  <c r="C6" i="56"/>
  <c r="B20" i="56"/>
  <c r="B34" i="56" s="1"/>
  <c r="B48" i="56" s="1"/>
  <c r="C5" i="56"/>
  <c r="C141" i="56" s="1"/>
  <c r="C4" i="56"/>
  <c r="C140" i="56" s="1"/>
  <c r="B18" i="56"/>
  <c r="B32" i="56" s="1"/>
  <c r="B46" i="56" s="1"/>
  <c r="D3" i="56"/>
  <c r="D31" i="56" s="1"/>
  <c r="D59" i="56" s="1"/>
  <c r="C3" i="56"/>
  <c r="C2" i="56"/>
  <c r="C16" i="56" s="1"/>
  <c r="C30" i="56" s="1"/>
  <c r="C44" i="56" s="1"/>
  <c r="B94" i="55"/>
  <c r="B87" i="55"/>
  <c r="C85" i="55"/>
  <c r="C92" i="55" s="1"/>
  <c r="C83" i="55"/>
  <c r="C90" i="55" s="1"/>
  <c r="C82" i="55"/>
  <c r="C89" i="55" s="1"/>
  <c r="E81" i="55"/>
  <c r="C80" i="55"/>
  <c r="C87" i="55" s="1"/>
  <c r="B78" i="55"/>
  <c r="E76" i="55"/>
  <c r="E75" i="55"/>
  <c r="E74" i="55"/>
  <c r="B74" i="55"/>
  <c r="E73" i="55"/>
  <c r="E72" i="55"/>
  <c r="B72" i="55"/>
  <c r="G71" i="55"/>
  <c r="F71" i="55"/>
  <c r="B71" i="55"/>
  <c r="E70" i="55"/>
  <c r="E69" i="55"/>
  <c r="C69" i="55"/>
  <c r="E68" i="55"/>
  <c r="E67" i="55"/>
  <c r="C67" i="55"/>
  <c r="E66" i="55"/>
  <c r="E65" i="55"/>
  <c r="C65" i="55"/>
  <c r="E64" i="55"/>
  <c r="E63" i="55"/>
  <c r="C63" i="55"/>
  <c r="B63" i="55"/>
  <c r="E62" i="55"/>
  <c r="E61" i="55"/>
  <c r="B61" i="55"/>
  <c r="O60" i="55"/>
  <c r="N60" i="55"/>
  <c r="M60" i="55"/>
  <c r="L60" i="55"/>
  <c r="G60" i="55"/>
  <c r="F60" i="55"/>
  <c r="B60" i="55"/>
  <c r="G59" i="55"/>
  <c r="G77" i="55" s="1"/>
  <c r="C59" i="55"/>
  <c r="L58" i="55"/>
  <c r="F58" i="55"/>
  <c r="C56" i="55"/>
  <c r="C45" i="55"/>
  <c r="C54" i="55" s="1"/>
  <c r="C50" i="55"/>
  <c r="C49" i="55"/>
  <c r="C38" i="55"/>
  <c r="C47" i="55" s="1"/>
  <c r="T36" i="55"/>
  <c r="S36" i="55"/>
  <c r="R36" i="55"/>
  <c r="Q36" i="55"/>
  <c r="P36" i="55"/>
  <c r="O36" i="55"/>
  <c r="N36" i="55"/>
  <c r="M36" i="55"/>
  <c r="L36" i="55"/>
  <c r="K36" i="55"/>
  <c r="J36" i="55"/>
  <c r="I36" i="55"/>
  <c r="H36" i="55"/>
  <c r="G36" i="55"/>
  <c r="F36" i="55"/>
  <c r="T27" i="55"/>
  <c r="S27" i="55"/>
  <c r="R27" i="55"/>
  <c r="Q27" i="55"/>
  <c r="P27" i="55"/>
  <c r="O27" i="55"/>
  <c r="N27" i="55"/>
  <c r="M27" i="55"/>
  <c r="L27" i="55"/>
  <c r="K27" i="55"/>
  <c r="J27" i="55"/>
  <c r="I27" i="55"/>
  <c r="H27" i="55"/>
  <c r="G27" i="55"/>
  <c r="F27" i="55"/>
  <c r="C36" i="55"/>
  <c r="E26" i="55"/>
  <c r="E25" i="55"/>
  <c r="E23" i="55"/>
  <c r="E22" i="55"/>
  <c r="C29" i="55"/>
  <c r="T18" i="55"/>
  <c r="S18" i="55"/>
  <c r="R18" i="55"/>
  <c r="Q18" i="55"/>
  <c r="P18" i="55"/>
  <c r="O18" i="55"/>
  <c r="N18" i="55"/>
  <c r="M18" i="55"/>
  <c r="L18" i="55"/>
  <c r="K18" i="55"/>
  <c r="J18" i="55"/>
  <c r="I18" i="55"/>
  <c r="H18" i="55"/>
  <c r="G18" i="55"/>
  <c r="F18" i="55"/>
  <c r="T9" i="55"/>
  <c r="S9" i="55"/>
  <c r="R9" i="55"/>
  <c r="Q9" i="55"/>
  <c r="P9" i="55"/>
  <c r="O9" i="55"/>
  <c r="N9" i="55"/>
  <c r="M9" i="55"/>
  <c r="L9" i="55"/>
  <c r="K9" i="55"/>
  <c r="J9" i="55"/>
  <c r="I9" i="55"/>
  <c r="H9" i="55"/>
  <c r="G9" i="55"/>
  <c r="F9" i="55"/>
  <c r="C18" i="55"/>
  <c r="E8" i="55"/>
  <c r="C17" i="55"/>
  <c r="E7" i="55"/>
  <c r="C16" i="55"/>
  <c r="E5" i="55"/>
  <c r="C14" i="55"/>
  <c r="E4" i="55"/>
  <c r="C13" i="55"/>
  <c r="C11" i="55"/>
  <c r="E21" i="55"/>
  <c r="E39" i="55" s="1"/>
  <c r="B128" i="53"/>
  <c r="C28" i="53"/>
  <c r="E27" i="53"/>
  <c r="B26" i="53"/>
  <c r="C12" i="53"/>
  <c r="B10" i="53"/>
  <c r="C18" i="53"/>
  <c r="C26" i="53" s="1"/>
  <c r="C91" i="53"/>
  <c r="C90" i="53"/>
  <c r="C89" i="53"/>
  <c r="E81" i="53"/>
  <c r="C78" i="53"/>
  <c r="C87" i="53" s="1"/>
  <c r="C71" i="53"/>
  <c r="C80" i="53" s="1"/>
  <c r="E62" i="53"/>
  <c r="D59" i="53"/>
  <c r="D90" i="53" s="1"/>
  <c r="C53" i="53"/>
  <c r="C62" i="53" s="1"/>
  <c r="D89" i="53"/>
  <c r="C50" i="53"/>
  <c r="C59" i="53" s="1"/>
  <c r="C68" i="53" s="1"/>
  <c r="D53" i="53"/>
  <c r="D72" i="53" s="1"/>
  <c r="C3" i="53"/>
  <c r="C11" i="53" s="1"/>
  <c r="B210" i="24"/>
  <c r="S206" i="24"/>
  <c r="R206" i="24"/>
  <c r="Q206" i="24"/>
  <c r="P206" i="24"/>
  <c r="O206" i="24"/>
  <c r="N206" i="24"/>
  <c r="M206" i="24"/>
  <c r="L206" i="24"/>
  <c r="K206" i="24"/>
  <c r="J206" i="24"/>
  <c r="I206" i="24"/>
  <c r="H206" i="24"/>
  <c r="G206" i="24"/>
  <c r="F206" i="24"/>
  <c r="E206" i="24"/>
  <c r="B191" i="24"/>
  <c r="S188" i="24"/>
  <c r="R188" i="24"/>
  <c r="Q188" i="24"/>
  <c r="P188" i="24"/>
  <c r="O188" i="24"/>
  <c r="N188" i="24"/>
  <c r="M188" i="24"/>
  <c r="L188" i="24"/>
  <c r="K188" i="24"/>
  <c r="J188" i="24"/>
  <c r="I188" i="24"/>
  <c r="H188" i="24"/>
  <c r="G188" i="24"/>
  <c r="F188" i="24"/>
  <c r="E188" i="24"/>
  <c r="C174" i="24"/>
  <c r="C192" i="24" s="1"/>
  <c r="S170" i="24"/>
  <c r="R170" i="24"/>
  <c r="Q170" i="24"/>
  <c r="P170" i="24"/>
  <c r="O170" i="24"/>
  <c r="N170" i="24"/>
  <c r="M170" i="24"/>
  <c r="L170" i="24"/>
  <c r="K170" i="24"/>
  <c r="J170" i="24"/>
  <c r="I170" i="24"/>
  <c r="H170" i="24"/>
  <c r="G170" i="24"/>
  <c r="F170" i="24"/>
  <c r="E170" i="24"/>
  <c r="B155" i="24"/>
  <c r="C153" i="24"/>
  <c r="C171" i="24" s="1"/>
  <c r="C189" i="24" s="1"/>
  <c r="C207" i="24" s="1"/>
  <c r="S152" i="24"/>
  <c r="R152" i="24"/>
  <c r="Q152" i="24"/>
  <c r="P152" i="24"/>
  <c r="O152" i="24"/>
  <c r="N152" i="24"/>
  <c r="M152" i="24"/>
  <c r="L152" i="24"/>
  <c r="K152" i="24"/>
  <c r="J152" i="24"/>
  <c r="I152" i="24"/>
  <c r="H152" i="24"/>
  <c r="G152" i="24"/>
  <c r="F152" i="24"/>
  <c r="E152" i="24"/>
  <c r="C152" i="24"/>
  <c r="C170" i="24" s="1"/>
  <c r="C188" i="24" s="1"/>
  <c r="C206" i="24" s="1"/>
  <c r="C138" i="24"/>
  <c r="C156" i="24" s="1"/>
  <c r="C137" i="24"/>
  <c r="C155" i="24" s="1"/>
  <c r="D121" i="24"/>
  <c r="B119" i="24"/>
  <c r="C117" i="24"/>
  <c r="C134" i="24" s="1"/>
  <c r="C151" i="24" s="1"/>
  <c r="C169" i="24" s="1"/>
  <c r="C187" i="24" s="1"/>
  <c r="C205" i="24" s="1"/>
  <c r="C116" i="24"/>
  <c r="C133" i="24" s="1"/>
  <c r="C150" i="24" s="1"/>
  <c r="C168" i="24" s="1"/>
  <c r="C186" i="24" s="1"/>
  <c r="C204" i="24" s="1"/>
  <c r="C115" i="24"/>
  <c r="C132" i="24" s="1"/>
  <c r="C149" i="24" s="1"/>
  <c r="C167" i="24" s="1"/>
  <c r="C185" i="24" s="1"/>
  <c r="C203" i="24" s="1"/>
  <c r="C114" i="24"/>
  <c r="C131" i="24" s="1"/>
  <c r="C148" i="24" s="1"/>
  <c r="C166" i="24" s="1"/>
  <c r="C184" i="24" s="1"/>
  <c r="C202" i="24" s="1"/>
  <c r="C113" i="24"/>
  <c r="C130" i="24" s="1"/>
  <c r="C147" i="24" s="1"/>
  <c r="C165" i="24" s="1"/>
  <c r="C183" i="24" s="1"/>
  <c r="C201" i="24" s="1"/>
  <c r="C112" i="24"/>
  <c r="C129" i="24" s="1"/>
  <c r="C146" i="24" s="1"/>
  <c r="C164" i="24" s="1"/>
  <c r="C182" i="24" s="1"/>
  <c r="C200" i="24" s="1"/>
  <c r="C111" i="24"/>
  <c r="C128" i="24" s="1"/>
  <c r="C145" i="24" s="1"/>
  <c r="C163" i="24" s="1"/>
  <c r="C181" i="24" s="1"/>
  <c r="C199" i="24" s="1"/>
  <c r="C110" i="24"/>
  <c r="C127" i="24" s="1"/>
  <c r="C144" i="24" s="1"/>
  <c r="C162" i="24" s="1"/>
  <c r="C180" i="24" s="1"/>
  <c r="C198" i="24" s="1"/>
  <c r="C109" i="24"/>
  <c r="C126" i="24" s="1"/>
  <c r="C143" i="24" s="1"/>
  <c r="C161" i="24" s="1"/>
  <c r="C179" i="24" s="1"/>
  <c r="C197" i="24" s="1"/>
  <c r="C108" i="24"/>
  <c r="C125" i="24" s="1"/>
  <c r="C142" i="24" s="1"/>
  <c r="C160" i="24" s="1"/>
  <c r="C178" i="24" s="1"/>
  <c r="C196" i="24" s="1"/>
  <c r="C107" i="24"/>
  <c r="C124" i="24" s="1"/>
  <c r="C141" i="24" s="1"/>
  <c r="C159" i="24" s="1"/>
  <c r="C177" i="24" s="1"/>
  <c r="C195" i="24" s="1"/>
  <c r="C106" i="24"/>
  <c r="C123" i="24" s="1"/>
  <c r="C140" i="24" s="1"/>
  <c r="C158" i="24" s="1"/>
  <c r="C176" i="24" s="1"/>
  <c r="C194" i="24" s="1"/>
  <c r="C105" i="24"/>
  <c r="C122" i="24" s="1"/>
  <c r="C139" i="24" s="1"/>
  <c r="C157" i="24" s="1"/>
  <c r="C175" i="24" s="1"/>
  <c r="C193" i="24" s="1"/>
  <c r="C104" i="24"/>
  <c r="C121" i="24" s="1"/>
  <c r="D103" i="24"/>
  <c r="D120" i="24" s="1"/>
  <c r="C102" i="24"/>
  <c r="C119" i="24" s="1"/>
  <c r="C100" i="24"/>
  <c r="C99" i="24"/>
  <c r="C98" i="24"/>
  <c r="C97" i="24"/>
  <c r="C96" i="24"/>
  <c r="C95" i="24"/>
  <c r="C94" i="24"/>
  <c r="C93" i="24"/>
  <c r="C92" i="24"/>
  <c r="C91" i="24"/>
  <c r="C90" i="24"/>
  <c r="C89" i="24"/>
  <c r="C88" i="24"/>
  <c r="E87" i="24"/>
  <c r="D87" i="24"/>
  <c r="C87" i="24"/>
  <c r="C86" i="24"/>
  <c r="E85" i="24"/>
  <c r="D85" i="24"/>
  <c r="C85" i="24"/>
  <c r="C82" i="24"/>
  <c r="C81" i="24"/>
  <c r="C80" i="24"/>
  <c r="C78" i="24"/>
  <c r="S75" i="24"/>
  <c r="R75" i="24"/>
  <c r="Q75" i="24"/>
  <c r="P75" i="24"/>
  <c r="O75" i="24"/>
  <c r="N75" i="24"/>
  <c r="M75" i="24"/>
  <c r="L75" i="24"/>
  <c r="K75" i="24"/>
  <c r="J75" i="24"/>
  <c r="I75" i="24"/>
  <c r="H75" i="24"/>
  <c r="G75" i="24"/>
  <c r="F75" i="24"/>
  <c r="E75" i="24"/>
  <c r="C75" i="24"/>
  <c r="S74" i="24"/>
  <c r="R74" i="24"/>
  <c r="Q74" i="24"/>
  <c r="P74" i="24"/>
  <c r="O74" i="24"/>
  <c r="N74" i="24"/>
  <c r="M74" i="24"/>
  <c r="L74" i="24"/>
  <c r="K74" i="24"/>
  <c r="J74" i="24"/>
  <c r="I74" i="24"/>
  <c r="H74" i="24"/>
  <c r="G74" i="24"/>
  <c r="F74" i="24"/>
  <c r="E74" i="24"/>
  <c r="C74" i="24"/>
  <c r="S73" i="24"/>
  <c r="R73" i="24"/>
  <c r="Q73" i="24"/>
  <c r="P73" i="24"/>
  <c r="O73" i="24"/>
  <c r="N73" i="24"/>
  <c r="M73" i="24"/>
  <c r="L73" i="24"/>
  <c r="K73" i="24"/>
  <c r="J73" i="24"/>
  <c r="I73" i="24"/>
  <c r="H73" i="24"/>
  <c r="G73" i="24"/>
  <c r="F73" i="24"/>
  <c r="E73" i="24"/>
  <c r="C71" i="24"/>
  <c r="S70" i="24"/>
  <c r="R70" i="24"/>
  <c r="Q70" i="24"/>
  <c r="P70" i="24"/>
  <c r="O70" i="24"/>
  <c r="N70" i="24"/>
  <c r="M70" i="24"/>
  <c r="L70" i="24"/>
  <c r="K70" i="24"/>
  <c r="J70" i="24"/>
  <c r="I70" i="24"/>
  <c r="H70" i="24"/>
  <c r="G70" i="24"/>
  <c r="F70" i="24"/>
  <c r="E70" i="24"/>
  <c r="C70" i="24"/>
  <c r="S69" i="24"/>
  <c r="R69" i="24"/>
  <c r="Q69" i="24"/>
  <c r="P69" i="24"/>
  <c r="O69" i="24"/>
  <c r="N69" i="24"/>
  <c r="M69" i="24"/>
  <c r="L69" i="24"/>
  <c r="K69" i="24"/>
  <c r="J69" i="24"/>
  <c r="I69" i="24"/>
  <c r="H69" i="24"/>
  <c r="G69" i="24"/>
  <c r="F69" i="24"/>
  <c r="E69" i="24"/>
  <c r="C69" i="24"/>
  <c r="E68" i="24"/>
  <c r="C67" i="24"/>
  <c r="C65" i="24"/>
  <c r="S62" i="24"/>
  <c r="R62" i="24"/>
  <c r="Q62" i="24"/>
  <c r="P62" i="24"/>
  <c r="O62" i="24"/>
  <c r="N62" i="24"/>
  <c r="M62" i="24"/>
  <c r="L62" i="24"/>
  <c r="K62" i="24"/>
  <c r="J62" i="24"/>
  <c r="I62" i="24"/>
  <c r="H62" i="24"/>
  <c r="G62" i="24"/>
  <c r="F62" i="24"/>
  <c r="E62" i="24"/>
  <c r="C62" i="24"/>
  <c r="S61" i="24"/>
  <c r="R61" i="24"/>
  <c r="Q61" i="24"/>
  <c r="P61" i="24"/>
  <c r="O61" i="24"/>
  <c r="N61" i="24"/>
  <c r="M61" i="24"/>
  <c r="L61" i="24"/>
  <c r="K61" i="24"/>
  <c r="J61" i="24"/>
  <c r="I61" i="24"/>
  <c r="H61" i="24"/>
  <c r="G61" i="24"/>
  <c r="F61" i="24"/>
  <c r="E61" i="24"/>
  <c r="C61" i="24"/>
  <c r="S60" i="24"/>
  <c r="R60" i="24"/>
  <c r="Q60" i="24"/>
  <c r="P60" i="24"/>
  <c r="O60" i="24"/>
  <c r="N60" i="24"/>
  <c r="M60" i="24"/>
  <c r="L60" i="24"/>
  <c r="K60" i="24"/>
  <c r="J60" i="24"/>
  <c r="I60" i="24"/>
  <c r="H60" i="24"/>
  <c r="G60" i="24"/>
  <c r="F60" i="24"/>
  <c r="E60" i="24"/>
  <c r="C58" i="24"/>
  <c r="S57" i="24"/>
  <c r="R57" i="24"/>
  <c r="Q57" i="24"/>
  <c r="P57" i="24"/>
  <c r="O57" i="24"/>
  <c r="N57" i="24"/>
  <c r="M57" i="24"/>
  <c r="L57" i="24"/>
  <c r="K57" i="24"/>
  <c r="J57" i="24"/>
  <c r="I57" i="24"/>
  <c r="H57" i="24"/>
  <c r="G57" i="24"/>
  <c r="F57" i="24"/>
  <c r="E57" i="24"/>
  <c r="C57" i="24"/>
  <c r="S56" i="24"/>
  <c r="R56" i="24"/>
  <c r="Q56" i="24"/>
  <c r="P56" i="24"/>
  <c r="O56" i="24"/>
  <c r="N56" i="24"/>
  <c r="M56" i="24"/>
  <c r="L56" i="24"/>
  <c r="K56" i="24"/>
  <c r="J56" i="24"/>
  <c r="I56" i="24"/>
  <c r="H56" i="24"/>
  <c r="G56" i="24"/>
  <c r="F56" i="24"/>
  <c r="E56" i="24"/>
  <c r="C56" i="24"/>
  <c r="C54" i="24"/>
  <c r="C52" i="24"/>
  <c r="C49" i="24"/>
  <c r="C48" i="24"/>
  <c r="C45" i="24"/>
  <c r="C44" i="24"/>
  <c r="C43" i="24"/>
  <c r="E42" i="24"/>
  <c r="C42" i="24"/>
  <c r="C41" i="24"/>
  <c r="C39" i="24"/>
  <c r="D36" i="24"/>
  <c r="C36" i="24"/>
  <c r="D35" i="24"/>
  <c r="C35" i="24"/>
  <c r="D34" i="24"/>
  <c r="D33" i="24"/>
  <c r="C32" i="24"/>
  <c r="D31" i="24"/>
  <c r="C31" i="24"/>
  <c r="D30" i="24"/>
  <c r="C30" i="24"/>
  <c r="C29" i="24"/>
  <c r="C28" i="24"/>
  <c r="C26" i="24"/>
  <c r="C23" i="24"/>
  <c r="C22" i="24"/>
  <c r="C19" i="24"/>
  <c r="C18" i="24"/>
  <c r="C17" i="24"/>
  <c r="C16" i="24"/>
  <c r="C15" i="24"/>
  <c r="C13" i="24"/>
  <c r="D10" i="24"/>
  <c r="C10" i="24"/>
  <c r="D9" i="24"/>
  <c r="C9" i="24"/>
  <c r="D8" i="24"/>
  <c r="D7" i="24"/>
  <c r="C6" i="24"/>
  <c r="D5" i="24"/>
  <c r="C5" i="24"/>
  <c r="D4" i="24"/>
  <c r="C4" i="24"/>
  <c r="D3" i="24"/>
  <c r="D29" i="24" s="1"/>
  <c r="D55" i="24" s="1"/>
  <c r="C3" i="24"/>
  <c r="C2" i="24"/>
  <c r="H51" i="6"/>
  <c r="C51" i="6"/>
  <c r="H50" i="6"/>
  <c r="C50" i="6"/>
  <c r="H48" i="6"/>
  <c r="H47" i="6"/>
  <c r="C47" i="6"/>
  <c r="H46" i="6"/>
  <c r="C46" i="6"/>
  <c r="H45" i="6"/>
  <c r="C45" i="6"/>
  <c r="I44" i="6"/>
  <c r="H44" i="6"/>
  <c r="D44" i="6"/>
  <c r="C44" i="6"/>
  <c r="H43" i="6"/>
  <c r="C43" i="6"/>
  <c r="H42" i="6"/>
  <c r="C42" i="6"/>
  <c r="B39" i="6"/>
  <c r="C38" i="6"/>
  <c r="H35" i="6"/>
  <c r="E35" i="6"/>
  <c r="C35" i="6"/>
  <c r="H34" i="6"/>
  <c r="E34" i="6"/>
  <c r="C34" i="6"/>
  <c r="H33" i="6"/>
  <c r="E33" i="6"/>
  <c r="C33" i="6"/>
  <c r="H32" i="6"/>
  <c r="E32" i="6"/>
  <c r="C32" i="6"/>
  <c r="H31" i="6"/>
  <c r="E31" i="6"/>
  <c r="C31" i="6"/>
  <c r="H30" i="6"/>
  <c r="E30" i="6"/>
  <c r="C30" i="6"/>
  <c r="H29" i="6"/>
  <c r="E29" i="6"/>
  <c r="C29" i="6"/>
  <c r="H28" i="6"/>
  <c r="E28" i="6"/>
  <c r="C28" i="6"/>
  <c r="H27" i="6"/>
  <c r="E27" i="6"/>
  <c r="C27" i="6"/>
  <c r="H26" i="6"/>
  <c r="E26" i="6"/>
  <c r="C26" i="6"/>
  <c r="H25" i="6"/>
  <c r="G25" i="6"/>
  <c r="E25" i="6"/>
  <c r="C25" i="6"/>
  <c r="B25" i="6"/>
  <c r="H24" i="6"/>
  <c r="E24" i="6"/>
  <c r="C24" i="6"/>
  <c r="H23" i="6"/>
  <c r="E23" i="6"/>
  <c r="C23" i="6"/>
  <c r="H22" i="6"/>
  <c r="E22" i="6"/>
  <c r="C22" i="6"/>
  <c r="H21" i="6"/>
  <c r="E21" i="6"/>
  <c r="C21" i="6"/>
  <c r="H20" i="6"/>
  <c r="E20" i="6"/>
  <c r="H19" i="6"/>
  <c r="E19" i="6"/>
  <c r="C19" i="6"/>
  <c r="H18" i="6"/>
  <c r="E18" i="6"/>
  <c r="C18" i="6"/>
  <c r="H17" i="6"/>
  <c r="E17" i="6"/>
  <c r="C17" i="6"/>
  <c r="H16" i="6"/>
  <c r="G16" i="6"/>
  <c r="E16" i="6"/>
  <c r="C16" i="6"/>
  <c r="B16" i="6"/>
  <c r="H15" i="6"/>
  <c r="E15" i="6"/>
  <c r="C15" i="6"/>
  <c r="H14" i="6"/>
  <c r="E14" i="6"/>
  <c r="C14" i="6"/>
  <c r="H13" i="6"/>
  <c r="E13" i="6"/>
  <c r="C13" i="6"/>
  <c r="H12" i="6"/>
  <c r="E12" i="6"/>
  <c r="C12" i="6"/>
  <c r="H11" i="6"/>
  <c r="E11" i="6"/>
  <c r="C11" i="6"/>
  <c r="H10" i="6"/>
  <c r="E10" i="6"/>
  <c r="C10" i="6"/>
  <c r="H9" i="6"/>
  <c r="E9" i="6"/>
  <c r="C9" i="6"/>
  <c r="H8" i="6"/>
  <c r="E8" i="6"/>
  <c r="C8" i="6"/>
  <c r="H7" i="6"/>
  <c r="E7" i="6"/>
  <c r="C7" i="6"/>
  <c r="H6" i="6"/>
  <c r="E6" i="6"/>
  <c r="C6" i="6"/>
  <c r="H5" i="6"/>
  <c r="E5" i="6"/>
  <c r="C5" i="6"/>
  <c r="H4" i="6"/>
  <c r="E4" i="6"/>
  <c r="C4" i="6"/>
  <c r="H3" i="6"/>
  <c r="G3" i="6"/>
  <c r="E3" i="6"/>
  <c r="C3" i="6"/>
  <c r="B3" i="6"/>
  <c r="I2" i="6"/>
  <c r="H2" i="6"/>
  <c r="E2" i="6"/>
  <c r="D2" i="6"/>
  <c r="C2" i="6"/>
  <c r="B71" i="4"/>
  <c r="C68" i="4"/>
  <c r="C67" i="4"/>
  <c r="S66" i="4"/>
  <c r="S67" i="4" s="1"/>
  <c r="S68" i="4" s="1"/>
  <c r="R66" i="4"/>
  <c r="R67" i="4" s="1"/>
  <c r="R68" i="4" s="1"/>
  <c r="Q66" i="4"/>
  <c r="Q67" i="4" s="1"/>
  <c r="Q68" i="4" s="1"/>
  <c r="P66" i="4"/>
  <c r="P67" i="4" s="1"/>
  <c r="P68" i="4" s="1"/>
  <c r="O66" i="4"/>
  <c r="O67" i="4" s="1"/>
  <c r="O68" i="4" s="1"/>
  <c r="N66" i="4"/>
  <c r="N67" i="4" s="1"/>
  <c r="N68" i="4" s="1"/>
  <c r="M66" i="4"/>
  <c r="M67" i="4" s="1"/>
  <c r="M68" i="4" s="1"/>
  <c r="L66" i="4"/>
  <c r="L67" i="4" s="1"/>
  <c r="L68" i="4" s="1"/>
  <c r="K66" i="4"/>
  <c r="K67" i="4" s="1"/>
  <c r="K68" i="4" s="1"/>
  <c r="J66" i="4"/>
  <c r="J67" i="4" s="1"/>
  <c r="J68" i="4" s="1"/>
  <c r="I66" i="4"/>
  <c r="I67" i="4" s="1"/>
  <c r="I68" i="4" s="1"/>
  <c r="H66" i="4"/>
  <c r="H67" i="4" s="1"/>
  <c r="H68" i="4" s="1"/>
  <c r="G66" i="4"/>
  <c r="G67" i="4" s="1"/>
  <c r="G68" i="4" s="1"/>
  <c r="F66" i="4"/>
  <c r="F67" i="4" s="1"/>
  <c r="F68" i="4" s="1"/>
  <c r="E66" i="4"/>
  <c r="E67" i="4" s="1"/>
  <c r="E68" i="4" s="1"/>
  <c r="C66" i="4"/>
  <c r="C65" i="4"/>
  <c r="C64" i="4"/>
  <c r="C63" i="4"/>
  <c r="C62" i="4"/>
  <c r="C61" i="4"/>
  <c r="C60" i="4"/>
  <c r="C59" i="4"/>
  <c r="C58" i="4"/>
  <c r="C57" i="4"/>
  <c r="C56" i="4"/>
  <c r="C55" i="4"/>
  <c r="C54" i="4"/>
  <c r="C52" i="4"/>
  <c r="C51" i="4"/>
  <c r="S50" i="4"/>
  <c r="S51" i="4" s="1"/>
  <c r="S52" i="4" s="1"/>
  <c r="R50" i="4"/>
  <c r="R51" i="4" s="1"/>
  <c r="R52" i="4" s="1"/>
  <c r="Q50" i="4"/>
  <c r="Q51" i="4" s="1"/>
  <c r="Q52" i="4" s="1"/>
  <c r="P50" i="4"/>
  <c r="P51" i="4" s="1"/>
  <c r="P52" i="4" s="1"/>
  <c r="O50" i="4"/>
  <c r="O51" i="4" s="1"/>
  <c r="O52" i="4" s="1"/>
  <c r="N50" i="4"/>
  <c r="N51" i="4" s="1"/>
  <c r="N52" i="4" s="1"/>
  <c r="M50" i="4"/>
  <c r="M51" i="4" s="1"/>
  <c r="M52" i="4" s="1"/>
  <c r="L50" i="4"/>
  <c r="L51" i="4" s="1"/>
  <c r="L52" i="4" s="1"/>
  <c r="K50" i="4"/>
  <c r="K51" i="4" s="1"/>
  <c r="K52" i="4" s="1"/>
  <c r="J50" i="4"/>
  <c r="J51" i="4" s="1"/>
  <c r="J52" i="4" s="1"/>
  <c r="I50" i="4"/>
  <c r="I51" i="4" s="1"/>
  <c r="I52" i="4" s="1"/>
  <c r="H50" i="4"/>
  <c r="H51" i="4" s="1"/>
  <c r="H52" i="4" s="1"/>
  <c r="G50" i="4"/>
  <c r="G51" i="4" s="1"/>
  <c r="F50" i="4"/>
  <c r="F51" i="4" s="1"/>
  <c r="F52" i="4" s="1"/>
  <c r="E50" i="4"/>
  <c r="E51" i="4" s="1"/>
  <c r="E52" i="4" s="1"/>
  <c r="C50" i="4"/>
  <c r="D49" i="4"/>
  <c r="C49" i="4"/>
  <c r="D48" i="4"/>
  <c r="C48" i="4"/>
  <c r="D47" i="4"/>
  <c r="C47" i="4"/>
  <c r="D46" i="4"/>
  <c r="C46" i="4"/>
  <c r="D45" i="4"/>
  <c r="C45" i="4"/>
  <c r="D44" i="4"/>
  <c r="C44" i="4"/>
  <c r="D43" i="4"/>
  <c r="C43" i="4"/>
  <c r="D42" i="4"/>
  <c r="C42" i="4"/>
  <c r="D41" i="4"/>
  <c r="C41" i="4"/>
  <c r="C40" i="4"/>
  <c r="D39" i="4"/>
  <c r="C39" i="4"/>
  <c r="C38" i="4"/>
  <c r="C35" i="4"/>
  <c r="C34" i="4"/>
  <c r="C33" i="4"/>
  <c r="C32" i="4"/>
  <c r="S31" i="4"/>
  <c r="R31" i="4"/>
  <c r="R33" i="4" s="1"/>
  <c r="R34" i="4" s="1"/>
  <c r="R35" i="4" s="1"/>
  <c r="Q31" i="4"/>
  <c r="Q33" i="4" s="1"/>
  <c r="Q34" i="4" s="1"/>
  <c r="Q35" i="4" s="1"/>
  <c r="P31" i="4"/>
  <c r="O31" i="4"/>
  <c r="O33" i="4" s="1"/>
  <c r="O34" i="4" s="1"/>
  <c r="O35" i="4" s="1"/>
  <c r="N31" i="4"/>
  <c r="N33" i="4" s="1"/>
  <c r="N34" i="4" s="1"/>
  <c r="N35" i="4" s="1"/>
  <c r="M31" i="4"/>
  <c r="L31" i="4"/>
  <c r="L33" i="4" s="1"/>
  <c r="L34" i="4" s="1"/>
  <c r="L35" i="4" s="1"/>
  <c r="K31" i="4"/>
  <c r="J31" i="4"/>
  <c r="J33" i="4" s="1"/>
  <c r="J34" i="4" s="1"/>
  <c r="J35" i="4" s="1"/>
  <c r="I31" i="4"/>
  <c r="I33" i="4" s="1"/>
  <c r="I34" i="4" s="1"/>
  <c r="I35" i="4" s="1"/>
  <c r="H31" i="4"/>
  <c r="G31" i="4"/>
  <c r="G33" i="4" s="1"/>
  <c r="G34" i="4" s="1"/>
  <c r="G35" i="4" s="1"/>
  <c r="F31" i="4"/>
  <c r="F33" i="4" s="1"/>
  <c r="F34" i="4" s="1"/>
  <c r="F35" i="4" s="1"/>
  <c r="E31" i="4"/>
  <c r="C31" i="4"/>
  <c r="C30" i="4"/>
  <c r="C29" i="4"/>
  <c r="C28" i="4"/>
  <c r="C27" i="4"/>
  <c r="C26" i="4"/>
  <c r="C25" i="4"/>
  <c r="C24" i="4"/>
  <c r="C23" i="4"/>
  <c r="C22" i="4"/>
  <c r="C14" i="4"/>
  <c r="C12" i="4"/>
  <c r="S10" i="4"/>
  <c r="R10" i="4"/>
  <c r="Q10" i="4"/>
  <c r="P10" i="4"/>
  <c r="O10" i="4"/>
  <c r="N10" i="4"/>
  <c r="M10" i="4"/>
  <c r="L10" i="4"/>
  <c r="L8" i="17" s="1"/>
  <c r="K10" i="4"/>
  <c r="J10" i="4"/>
  <c r="I10" i="4"/>
  <c r="H10" i="4"/>
  <c r="G10" i="4"/>
  <c r="F10" i="4"/>
  <c r="E10" i="4"/>
  <c r="C10" i="4"/>
  <c r="C8" i="4"/>
  <c r="E3" i="4"/>
  <c r="E2" i="4"/>
  <c r="C2" i="4"/>
  <c r="C68" i="46"/>
  <c r="L67" i="46"/>
  <c r="M67" i="46" s="1"/>
  <c r="N67" i="46" s="1"/>
  <c r="C66" i="46"/>
  <c r="C65" i="46"/>
  <c r="C63" i="46"/>
  <c r="C57" i="46"/>
  <c r="C56" i="46"/>
  <c r="C54" i="46"/>
  <c r="C50" i="46"/>
  <c r="N49" i="46"/>
  <c r="C48" i="46"/>
  <c r="C47" i="46"/>
  <c r="C45" i="46"/>
  <c r="L42" i="46"/>
  <c r="M42" i="46" s="1"/>
  <c r="N42" i="46" s="1"/>
  <c r="C41" i="46"/>
  <c r="C40" i="46"/>
  <c r="C38" i="46"/>
  <c r="B31" i="46"/>
  <c r="B26" i="46"/>
  <c r="C25" i="46"/>
  <c r="K21" i="46"/>
  <c r="J21" i="46"/>
  <c r="M20" i="46"/>
  <c r="C20" i="46"/>
  <c r="M18" i="46"/>
  <c r="I18" i="46"/>
  <c r="F18" i="46"/>
  <c r="C18" i="46"/>
  <c r="C16" i="46"/>
  <c r="C14" i="46"/>
  <c r="L10" i="46"/>
  <c r="C4" i="46"/>
  <c r="C3" i="46"/>
  <c r="K33" i="63" l="1"/>
  <c r="F12" i="58"/>
  <c r="F22" i="58"/>
  <c r="E42" i="70"/>
  <c r="E2" i="71"/>
  <c r="D236" i="71" s="1"/>
  <c r="F27" i="58"/>
  <c r="F10" i="58"/>
  <c r="I8" i="17"/>
  <c r="H8" i="17"/>
  <c r="G8" i="17"/>
  <c r="F8" i="17"/>
  <c r="E8" i="17"/>
  <c r="D10" i="4"/>
  <c r="C20" i="56"/>
  <c r="C34" i="56" s="1"/>
  <c r="C48" i="56" s="1"/>
  <c r="C142" i="56"/>
  <c r="C22" i="56"/>
  <c r="C36" i="56" s="1"/>
  <c r="C50" i="56" s="1"/>
  <c r="C144" i="56"/>
  <c r="C21" i="56"/>
  <c r="C35" i="56" s="1"/>
  <c r="C49" i="56" s="1"/>
  <c r="C143" i="56"/>
  <c r="C24" i="56"/>
  <c r="C38" i="56" s="1"/>
  <c r="C52" i="56" s="1"/>
  <c r="C146" i="56"/>
  <c r="C23" i="56"/>
  <c r="C37" i="56" s="1"/>
  <c r="C51" i="56" s="1"/>
  <c r="C145" i="56"/>
  <c r="C26" i="56"/>
  <c r="C40" i="56" s="1"/>
  <c r="C54" i="56" s="1"/>
  <c r="C148" i="56"/>
  <c r="C25" i="56"/>
  <c r="C39" i="56" s="1"/>
  <c r="C53" i="56" s="1"/>
  <c r="C147" i="56"/>
  <c r="C27" i="56"/>
  <c r="C41" i="56" s="1"/>
  <c r="C55" i="56" s="1"/>
  <c r="C149" i="56"/>
  <c r="I131" i="56"/>
  <c r="I132" i="56"/>
  <c r="I133" i="56"/>
  <c r="H132" i="56"/>
  <c r="H133" i="56"/>
  <c r="F117" i="56"/>
  <c r="E108" i="56"/>
  <c r="F92" i="56"/>
  <c r="E83" i="56"/>
  <c r="F108" i="56"/>
  <c r="F93" i="56"/>
  <c r="E80" i="56"/>
  <c r="F95" i="56"/>
  <c r="E107" i="56"/>
  <c r="D131" i="56"/>
  <c r="F115" i="56"/>
  <c r="G107" i="56"/>
  <c r="F116" i="56"/>
  <c r="E145" i="56" s="1"/>
  <c r="E37" i="56" s="1"/>
  <c r="E82" i="56"/>
  <c r="H131" i="56"/>
  <c r="F118" i="56"/>
  <c r="D108" i="56"/>
  <c r="D107" i="56"/>
  <c r="F90" i="56"/>
  <c r="E142" i="56" s="1"/>
  <c r="H107" i="56"/>
  <c r="G131" i="56"/>
  <c r="F119" i="56"/>
  <c r="G108" i="56"/>
  <c r="F94" i="56"/>
  <c r="F114" i="56"/>
  <c r="E149" i="56" s="1"/>
  <c r="E41" i="56" s="1"/>
  <c r="H108" i="56"/>
  <c r="F131" i="56"/>
  <c r="F96" i="56"/>
  <c r="F107" i="56"/>
  <c r="F89" i="56"/>
  <c r="E148" i="56" s="1"/>
  <c r="E40" i="56" s="1"/>
  <c r="E81" i="56"/>
  <c r="F91" i="56"/>
  <c r="E131" i="56"/>
  <c r="C18" i="56"/>
  <c r="C32" i="56" s="1"/>
  <c r="C46" i="56" s="1"/>
  <c r="C60" i="56"/>
  <c r="C66" i="56" s="1"/>
  <c r="C19" i="56"/>
  <c r="C33" i="56" s="1"/>
  <c r="C47" i="56" s="1"/>
  <c r="C61" i="56"/>
  <c r="C67" i="56" s="1"/>
  <c r="G61" i="55"/>
  <c r="G63" i="55"/>
  <c r="E2" i="56"/>
  <c r="E34" i="53"/>
  <c r="F34" i="53" s="1"/>
  <c r="G34" i="53" s="1"/>
  <c r="H34" i="53" s="1"/>
  <c r="I34" i="53" s="1"/>
  <c r="J34" i="53" s="1"/>
  <c r="K34" i="53" s="1"/>
  <c r="L34" i="53" s="1"/>
  <c r="M34" i="53" s="1"/>
  <c r="N34" i="53" s="1"/>
  <c r="O34" i="53" s="1"/>
  <c r="P34" i="53" s="1"/>
  <c r="Q34" i="53" s="1"/>
  <c r="R34" i="53" s="1"/>
  <c r="S34" i="53" s="1"/>
  <c r="E43" i="53" s="1"/>
  <c r="F43" i="53" s="1"/>
  <c r="G43" i="53" s="1"/>
  <c r="H43" i="53" s="1"/>
  <c r="I43" i="53" s="1"/>
  <c r="J43" i="53" s="1"/>
  <c r="K43" i="53" s="1"/>
  <c r="L43" i="53" s="1"/>
  <c r="M43" i="53" s="1"/>
  <c r="N43" i="53" s="1"/>
  <c r="O43" i="53" s="1"/>
  <c r="P43" i="53" s="1"/>
  <c r="Q43" i="53" s="1"/>
  <c r="R43" i="53" s="1"/>
  <c r="S43" i="53" s="1"/>
  <c r="C8" i="53"/>
  <c r="C52" i="53"/>
  <c r="C61" i="53" s="1"/>
  <c r="O12" i="4"/>
  <c r="O13" i="4" s="1"/>
  <c r="O14" i="4" s="1"/>
  <c r="O17" i="4" s="1"/>
  <c r="O8" i="17"/>
  <c r="N12" i="4"/>
  <c r="N13" i="4" s="1"/>
  <c r="N14" i="4" s="1"/>
  <c r="N17" i="4" s="1"/>
  <c r="N8" i="17"/>
  <c r="P12" i="4"/>
  <c r="P13" i="4" s="1"/>
  <c r="P14" i="4" s="1"/>
  <c r="P17" i="4" s="1"/>
  <c r="P8" i="17"/>
  <c r="Q12" i="4"/>
  <c r="Q13" i="4" s="1"/>
  <c r="Q14" i="4" s="1"/>
  <c r="Q17" i="4" s="1"/>
  <c r="Q8" i="17"/>
  <c r="J12" i="4"/>
  <c r="J13" i="4" s="1"/>
  <c r="J14" i="4" s="1"/>
  <c r="J17" i="4" s="1"/>
  <c r="J8" i="17"/>
  <c r="R12" i="4"/>
  <c r="R13" i="4" s="1"/>
  <c r="R14" i="4" s="1"/>
  <c r="R17" i="4" s="1"/>
  <c r="R8" i="17"/>
  <c r="K12" i="4"/>
  <c r="K13" i="4" s="1"/>
  <c r="K14" i="4" s="1"/>
  <c r="K17" i="4" s="1"/>
  <c r="K8" i="17"/>
  <c r="S12" i="4"/>
  <c r="S13" i="4" s="1"/>
  <c r="S14" i="4" s="1"/>
  <c r="S17" i="4" s="1"/>
  <c r="S8" i="17"/>
  <c r="M12" i="4"/>
  <c r="M13" i="4" s="1"/>
  <c r="M14" i="4" s="1"/>
  <c r="M17" i="4" s="1"/>
  <c r="M8" i="17"/>
  <c r="D21" i="22"/>
  <c r="D44" i="22" s="1"/>
  <c r="M35" i="22"/>
  <c r="F41" i="22"/>
  <c r="N41" i="22"/>
  <c r="H35" i="22"/>
  <c r="I41" i="22"/>
  <c r="G33" i="63"/>
  <c r="O33" i="63"/>
  <c r="D7" i="22"/>
  <c r="D43" i="22" s="1"/>
  <c r="G41" i="22"/>
  <c r="O41" i="22"/>
  <c r="D34" i="22"/>
  <c r="Q41" i="22"/>
  <c r="P25" i="63"/>
  <c r="H33" i="63"/>
  <c r="P33" i="63"/>
  <c r="E33" i="63"/>
  <c r="D33" i="22"/>
  <c r="P35" i="22"/>
  <c r="D23" i="63"/>
  <c r="D24" i="63"/>
  <c r="D32" i="22"/>
  <c r="J25" i="63"/>
  <c r="R25" i="63"/>
  <c r="D8" i="63"/>
  <c r="D22" i="63"/>
  <c r="M33" i="63"/>
  <c r="D57" i="24"/>
  <c r="E41" i="22"/>
  <c r="M41" i="22"/>
  <c r="C34" i="55"/>
  <c r="C35" i="55"/>
  <c r="C31" i="55"/>
  <c r="C32" i="55"/>
  <c r="K35" i="22"/>
  <c r="S35" i="22"/>
  <c r="H33" i="4"/>
  <c r="H34" i="4" s="1"/>
  <c r="H35" i="4" s="1"/>
  <c r="P33" i="4"/>
  <c r="P34" i="4" s="1"/>
  <c r="P35" i="4" s="1"/>
  <c r="L35" i="22"/>
  <c r="H41" i="22"/>
  <c r="P41" i="22"/>
  <c r="H16" i="58"/>
  <c r="F35" i="22"/>
  <c r="N35" i="22"/>
  <c r="J41" i="22"/>
  <c r="R41" i="22"/>
  <c r="D21" i="63"/>
  <c r="K33" i="4"/>
  <c r="K34" i="4" s="1"/>
  <c r="K35" i="4" s="1"/>
  <c r="S33" i="4"/>
  <c r="S34" i="4" s="1"/>
  <c r="S35" i="4" s="1"/>
  <c r="G35" i="22"/>
  <c r="O35" i="22"/>
  <c r="K41" i="22"/>
  <c r="S41" i="22"/>
  <c r="L41" i="22"/>
  <c r="E33" i="4"/>
  <c r="E34" i="4" s="1"/>
  <c r="E35" i="4" s="1"/>
  <c r="M33" i="4"/>
  <c r="M34" i="4" s="1"/>
  <c r="M35" i="4" s="1"/>
  <c r="I35" i="22"/>
  <c r="Q35" i="22"/>
  <c r="L12" i="4"/>
  <c r="L13" i="4" s="1"/>
  <c r="L14" i="4" s="1"/>
  <c r="L17" i="4" s="1"/>
  <c r="D50" i="4"/>
  <c r="J35" i="22"/>
  <c r="R35" i="22"/>
  <c r="C11" i="63"/>
  <c r="C20" i="63"/>
  <c r="C28" i="63" s="1"/>
  <c r="E38" i="6"/>
  <c r="E12" i="4"/>
  <c r="F12" i="4"/>
  <c r="F13" i="4" s="1"/>
  <c r="G12" i="4"/>
  <c r="H12" i="4"/>
  <c r="I12" i="4"/>
  <c r="D62" i="24"/>
  <c r="D56" i="24"/>
  <c r="D60" i="24"/>
  <c r="D61" i="24"/>
  <c r="E30" i="22"/>
  <c r="F30" i="22" s="1"/>
  <c r="G30" i="22" s="1"/>
  <c r="H30" i="22" s="1"/>
  <c r="I30" i="22" s="1"/>
  <c r="J30" i="22" s="1"/>
  <c r="K30" i="22" s="1"/>
  <c r="L30" i="22" s="1"/>
  <c r="M30" i="22" s="1"/>
  <c r="N30" i="22" s="1"/>
  <c r="O30" i="22" s="1"/>
  <c r="P30" i="22" s="1"/>
  <c r="Q30" i="22" s="1"/>
  <c r="R30" i="22" s="1"/>
  <c r="S30" i="22" s="1"/>
  <c r="E37" i="22" s="1"/>
  <c r="F37" i="22" s="1"/>
  <c r="G37" i="22" s="1"/>
  <c r="H37" i="22" s="1"/>
  <c r="I37" i="22" s="1"/>
  <c r="J37" i="22" s="1"/>
  <c r="K37" i="22" s="1"/>
  <c r="L37" i="22" s="1"/>
  <c r="M37" i="22" s="1"/>
  <c r="N37" i="22" s="1"/>
  <c r="O37" i="22" s="1"/>
  <c r="P37" i="22" s="1"/>
  <c r="Q37" i="22" s="1"/>
  <c r="R37" i="22" s="1"/>
  <c r="S37" i="22" s="1"/>
  <c r="F2" i="17"/>
  <c r="F13" i="58"/>
  <c r="F2" i="22"/>
  <c r="G2" i="22" s="1"/>
  <c r="H2" i="22" s="1"/>
  <c r="I2" i="22" s="1"/>
  <c r="J2" i="22" s="1"/>
  <c r="K2" i="22" s="1"/>
  <c r="L2" i="22" s="1"/>
  <c r="M2" i="22" s="1"/>
  <c r="N2" i="22" s="1"/>
  <c r="O2" i="22" s="1"/>
  <c r="P2" i="22" s="1"/>
  <c r="Q2" i="22" s="1"/>
  <c r="R2" i="22" s="1"/>
  <c r="S2" i="22" s="1"/>
  <c r="E9" i="22" s="1"/>
  <c r="F9" i="22" s="1"/>
  <c r="G9" i="22" s="1"/>
  <c r="H9" i="22" s="1"/>
  <c r="I9" i="22" s="1"/>
  <c r="J9" i="22" s="1"/>
  <c r="K9" i="22" s="1"/>
  <c r="L9" i="22" s="1"/>
  <c r="M9" i="22" s="1"/>
  <c r="N9" i="22" s="1"/>
  <c r="O9" i="22" s="1"/>
  <c r="P9" i="22" s="1"/>
  <c r="Q9" i="22" s="1"/>
  <c r="R9" i="22" s="1"/>
  <c r="S9" i="22" s="1"/>
  <c r="E16" i="22"/>
  <c r="F16" i="22" s="1"/>
  <c r="G16" i="22" s="1"/>
  <c r="H16" i="22" s="1"/>
  <c r="I16" i="22" s="1"/>
  <c r="J16" i="22" s="1"/>
  <c r="K16" i="22" s="1"/>
  <c r="L16" i="22" s="1"/>
  <c r="M16" i="22" s="1"/>
  <c r="N16" i="22" s="1"/>
  <c r="O16" i="22" s="1"/>
  <c r="P16" i="22" s="1"/>
  <c r="Q16" i="22" s="1"/>
  <c r="R16" i="22" s="1"/>
  <c r="S16" i="22" s="1"/>
  <c r="E23" i="22" s="1"/>
  <c r="F23" i="22" s="1"/>
  <c r="G23" i="22" s="1"/>
  <c r="H23" i="22" s="1"/>
  <c r="I23" i="22" s="1"/>
  <c r="J23" i="22" s="1"/>
  <c r="K23" i="22" s="1"/>
  <c r="L23" i="22" s="1"/>
  <c r="M23" i="22" s="1"/>
  <c r="N23" i="22" s="1"/>
  <c r="O23" i="22" s="1"/>
  <c r="P23" i="22" s="1"/>
  <c r="Q23" i="22" s="1"/>
  <c r="R23" i="22" s="1"/>
  <c r="S23" i="22" s="1"/>
  <c r="G2" i="58"/>
  <c r="E27" i="55"/>
  <c r="E9" i="55"/>
  <c r="C10" i="53"/>
  <c r="C37" i="22"/>
  <c r="F3" i="4"/>
  <c r="G3" i="4" s="1"/>
  <c r="H3" i="4" s="1"/>
  <c r="I3" i="4" s="1"/>
  <c r="J3" i="4" s="1"/>
  <c r="K3" i="4" s="1"/>
  <c r="L3" i="4" s="1"/>
  <c r="M3" i="4" s="1"/>
  <c r="N3" i="4" s="1"/>
  <c r="O3" i="4" s="1"/>
  <c r="P3" i="4" s="1"/>
  <c r="Q3" i="4" s="1"/>
  <c r="R3" i="4" s="1"/>
  <c r="S3" i="4" s="1"/>
  <c r="E23" i="4" s="1"/>
  <c r="F23" i="4" s="1"/>
  <c r="G23" i="4" s="1"/>
  <c r="H23" i="4" s="1"/>
  <c r="I23" i="4" s="1"/>
  <c r="J23" i="4" s="1"/>
  <c r="K23" i="4" s="1"/>
  <c r="L23" i="4" s="1"/>
  <c r="M23" i="4" s="1"/>
  <c r="N23" i="4" s="1"/>
  <c r="O23" i="4" s="1"/>
  <c r="P23" i="4" s="1"/>
  <c r="Q23" i="4" s="1"/>
  <c r="R23" i="4" s="1"/>
  <c r="S23" i="4" s="1"/>
  <c r="C19" i="53"/>
  <c r="C27" i="53" s="1"/>
  <c r="D51" i="4"/>
  <c r="G52" i="4"/>
  <c r="D52" i="4" s="1"/>
  <c r="C191" i="24"/>
  <c r="C173" i="24"/>
  <c r="C25" i="63"/>
  <c r="E80" i="22"/>
  <c r="F80" i="22" s="1"/>
  <c r="G80" i="22" s="1"/>
  <c r="H80" i="22" s="1"/>
  <c r="I80" i="22" s="1"/>
  <c r="J80" i="22" s="1"/>
  <c r="K80" i="22" s="1"/>
  <c r="L80" i="22" s="1"/>
  <c r="M80" i="22" s="1"/>
  <c r="N80" i="22" s="1"/>
  <c r="O80" i="22" s="1"/>
  <c r="P80" i="22" s="1"/>
  <c r="Q80" i="22" s="1"/>
  <c r="R80" i="22" s="1"/>
  <c r="S80" i="22" s="1"/>
  <c r="E96" i="22" s="1"/>
  <c r="F96" i="22" s="1"/>
  <c r="G96" i="22" s="1"/>
  <c r="H96" i="22" s="1"/>
  <c r="I96" i="22" s="1"/>
  <c r="J96" i="22" s="1"/>
  <c r="K96" i="22" s="1"/>
  <c r="L96" i="22" s="1"/>
  <c r="M96" i="22" s="1"/>
  <c r="N96" i="22" s="1"/>
  <c r="O96" i="22" s="1"/>
  <c r="P96" i="22" s="1"/>
  <c r="Q96" i="22" s="1"/>
  <c r="R96" i="22" s="1"/>
  <c r="S96" i="22" s="1"/>
  <c r="E39" i="4"/>
  <c r="F39" i="4" s="1"/>
  <c r="G39" i="4" s="1"/>
  <c r="H39" i="4" s="1"/>
  <c r="I39" i="4" s="1"/>
  <c r="J39" i="4" s="1"/>
  <c r="K39" i="4" s="1"/>
  <c r="L39" i="4" s="1"/>
  <c r="M39" i="4" s="1"/>
  <c r="N39" i="4" s="1"/>
  <c r="O39" i="4" s="1"/>
  <c r="P39" i="4" s="1"/>
  <c r="Q39" i="4" s="1"/>
  <c r="R39" i="4" s="1"/>
  <c r="S39" i="4" s="1"/>
  <c r="E55" i="4" s="1"/>
  <c r="F55" i="4" s="1"/>
  <c r="G55" i="4" s="1"/>
  <c r="H55" i="4" s="1"/>
  <c r="I55" i="4" s="1"/>
  <c r="J55" i="4" s="1"/>
  <c r="K55" i="4" s="1"/>
  <c r="L55" i="4" s="1"/>
  <c r="M55" i="4" s="1"/>
  <c r="N55" i="4" s="1"/>
  <c r="O55" i="4" s="1"/>
  <c r="P55" i="4" s="1"/>
  <c r="Q55" i="4" s="1"/>
  <c r="R55" i="4" s="1"/>
  <c r="S55" i="4" s="1"/>
  <c r="E2" i="24"/>
  <c r="C17" i="56"/>
  <c r="C103" i="56"/>
  <c r="C126" i="56" s="1"/>
  <c r="D113" i="56"/>
  <c r="C130" i="56" s="1"/>
  <c r="E2" i="63"/>
  <c r="E9" i="17"/>
  <c r="E35" i="22"/>
  <c r="D25" i="63" l="1"/>
  <c r="D36" i="63" s="1"/>
  <c r="D242" i="71"/>
  <c r="D241" i="71"/>
  <c r="D239" i="71"/>
  <c r="D238" i="71"/>
  <c r="D240" i="71"/>
  <c r="D237" i="71"/>
  <c r="E260" i="71"/>
  <c r="F260" i="71" s="1"/>
  <c r="G260" i="71" s="1"/>
  <c r="H260" i="71" s="1"/>
  <c r="I260" i="71" s="1"/>
  <c r="J260" i="71" s="1"/>
  <c r="K260" i="71" s="1"/>
  <c r="L260" i="71" s="1"/>
  <c r="M260" i="71" s="1"/>
  <c r="N260" i="71" s="1"/>
  <c r="O260" i="71" s="1"/>
  <c r="P260" i="71" s="1"/>
  <c r="Q260" i="71" s="1"/>
  <c r="R260" i="71" s="1"/>
  <c r="S260" i="71" s="1"/>
  <c r="E270" i="71" s="1"/>
  <c r="F270" i="71" s="1"/>
  <c r="G270" i="71" s="1"/>
  <c r="H270" i="71" s="1"/>
  <c r="I270" i="71" s="1"/>
  <c r="J270" i="71" s="1"/>
  <c r="K270" i="71" s="1"/>
  <c r="L270" i="71" s="1"/>
  <c r="M270" i="71" s="1"/>
  <c r="N270" i="71" s="1"/>
  <c r="O270" i="71" s="1"/>
  <c r="P270" i="71" s="1"/>
  <c r="Q270" i="71" s="1"/>
  <c r="R270" i="71" s="1"/>
  <c r="S270" i="71" s="1"/>
  <c r="D104" i="71"/>
  <c r="L72" i="55"/>
  <c r="E146" i="56"/>
  <c r="E38" i="56" s="1"/>
  <c r="E52" i="53"/>
  <c r="F52" i="53" s="1"/>
  <c r="G52" i="53" s="1"/>
  <c r="H52" i="53" s="1"/>
  <c r="I52" i="53" s="1"/>
  <c r="J52" i="53" s="1"/>
  <c r="K52" i="53" s="1"/>
  <c r="L52" i="53" s="1"/>
  <c r="M52" i="53" s="1"/>
  <c r="N52" i="53" s="1"/>
  <c r="O52" i="53" s="1"/>
  <c r="P52" i="53" s="1"/>
  <c r="Q52" i="53" s="1"/>
  <c r="R52" i="53" s="1"/>
  <c r="S52" i="53" s="1"/>
  <c r="E61" i="53" s="1"/>
  <c r="F61" i="53" s="1"/>
  <c r="G61" i="53" s="1"/>
  <c r="H61" i="53" s="1"/>
  <c r="I61" i="53" s="1"/>
  <c r="J61" i="53" s="1"/>
  <c r="K61" i="53" s="1"/>
  <c r="L61" i="53" s="1"/>
  <c r="M61" i="53" s="1"/>
  <c r="N61" i="53" s="1"/>
  <c r="O61" i="53" s="1"/>
  <c r="P61" i="53" s="1"/>
  <c r="Q61" i="53" s="1"/>
  <c r="R61" i="53" s="1"/>
  <c r="S61" i="53" s="1"/>
  <c r="G12" i="58"/>
  <c r="G22" i="58"/>
  <c r="M72" i="55"/>
  <c r="O72" i="55"/>
  <c r="N72" i="55"/>
  <c r="E22" i="71"/>
  <c r="F22" i="71" s="1"/>
  <c r="G22" i="71" s="1"/>
  <c r="H22" i="71" s="1"/>
  <c r="I22" i="71" s="1"/>
  <c r="J22" i="71" s="1"/>
  <c r="K22" i="71" s="1"/>
  <c r="L22" i="71" s="1"/>
  <c r="M22" i="71" s="1"/>
  <c r="N22" i="71" s="1"/>
  <c r="O22" i="71" s="1"/>
  <c r="P22" i="71" s="1"/>
  <c r="Q22" i="71" s="1"/>
  <c r="R22" i="71" s="1"/>
  <c r="S22" i="71" s="1"/>
  <c r="E32" i="71" s="1"/>
  <c r="F32" i="71" s="1"/>
  <c r="G32" i="71" s="1"/>
  <c r="H32" i="71" s="1"/>
  <c r="I32" i="71" s="1"/>
  <c r="J32" i="71" s="1"/>
  <c r="K32" i="71" s="1"/>
  <c r="L32" i="71" s="1"/>
  <c r="M32" i="71" s="1"/>
  <c r="N32" i="71" s="1"/>
  <c r="O32" i="71" s="1"/>
  <c r="P32" i="71" s="1"/>
  <c r="Q32" i="71" s="1"/>
  <c r="R32" i="71" s="1"/>
  <c r="S32" i="71" s="1"/>
  <c r="F2" i="71"/>
  <c r="E42" i="71"/>
  <c r="F42" i="70"/>
  <c r="G42" i="70" s="1"/>
  <c r="H42" i="70" s="1"/>
  <c r="I42" i="70" s="1"/>
  <c r="J42" i="70" s="1"/>
  <c r="K42" i="70" s="1"/>
  <c r="L42" i="70" s="1"/>
  <c r="M42" i="70" s="1"/>
  <c r="N42" i="70" s="1"/>
  <c r="O42" i="70" s="1"/>
  <c r="P42" i="70" s="1"/>
  <c r="Q42" i="70" s="1"/>
  <c r="R42" i="70" s="1"/>
  <c r="S42" i="70" s="1"/>
  <c r="E52" i="70" s="1"/>
  <c r="F52" i="70" s="1"/>
  <c r="G52" i="70" s="1"/>
  <c r="H52" i="70" s="1"/>
  <c r="I52" i="70" s="1"/>
  <c r="J52" i="70" s="1"/>
  <c r="K52" i="70" s="1"/>
  <c r="L52" i="70" s="1"/>
  <c r="M52" i="70" s="1"/>
  <c r="N52" i="70" s="1"/>
  <c r="O52" i="70" s="1"/>
  <c r="P52" i="70" s="1"/>
  <c r="Q52" i="70" s="1"/>
  <c r="R52" i="70" s="1"/>
  <c r="S52" i="70" s="1"/>
  <c r="E82" i="70"/>
  <c r="F82" i="70" s="1"/>
  <c r="G82" i="70" s="1"/>
  <c r="H82" i="70" s="1"/>
  <c r="I82" i="70" s="1"/>
  <c r="J82" i="70" s="1"/>
  <c r="K82" i="70" s="1"/>
  <c r="L82" i="70" s="1"/>
  <c r="M82" i="70" s="1"/>
  <c r="N82" i="70" s="1"/>
  <c r="O82" i="70" s="1"/>
  <c r="P82" i="70" s="1"/>
  <c r="Q82" i="70" s="1"/>
  <c r="R82" i="70" s="1"/>
  <c r="S82" i="70" s="1"/>
  <c r="E87" i="70" s="1"/>
  <c r="F87" i="70" s="1"/>
  <c r="G87" i="70" s="1"/>
  <c r="H87" i="70" s="1"/>
  <c r="I87" i="70" s="1"/>
  <c r="J87" i="70" s="1"/>
  <c r="K87" i="70" s="1"/>
  <c r="L87" i="70" s="1"/>
  <c r="M87" i="70" s="1"/>
  <c r="N87" i="70" s="1"/>
  <c r="O87" i="70" s="1"/>
  <c r="P87" i="70" s="1"/>
  <c r="Q87" i="70" s="1"/>
  <c r="R87" i="70" s="1"/>
  <c r="S87" i="70" s="1"/>
  <c r="E188" i="70"/>
  <c r="F188" i="70" s="1"/>
  <c r="F190" i="70" s="1"/>
  <c r="E209" i="70"/>
  <c r="E62" i="70"/>
  <c r="F62" i="70" s="1"/>
  <c r="G62" i="70" s="1"/>
  <c r="H62" i="70" s="1"/>
  <c r="I62" i="70" s="1"/>
  <c r="J62" i="70" s="1"/>
  <c r="K62" i="70" s="1"/>
  <c r="L62" i="70" s="1"/>
  <c r="M62" i="70" s="1"/>
  <c r="N62" i="70" s="1"/>
  <c r="O62" i="70" s="1"/>
  <c r="P62" i="70" s="1"/>
  <c r="Q62" i="70" s="1"/>
  <c r="R62" i="70" s="1"/>
  <c r="S62" i="70" s="1"/>
  <c r="E72" i="70" s="1"/>
  <c r="F72" i="70" s="1"/>
  <c r="G72" i="70" s="1"/>
  <c r="H72" i="70" s="1"/>
  <c r="I72" i="70" s="1"/>
  <c r="J72" i="70" s="1"/>
  <c r="K72" i="70" s="1"/>
  <c r="L72" i="70" s="1"/>
  <c r="M72" i="70" s="1"/>
  <c r="N72" i="70" s="1"/>
  <c r="O72" i="70" s="1"/>
  <c r="P72" i="70" s="1"/>
  <c r="Q72" i="70" s="1"/>
  <c r="R72" i="70" s="1"/>
  <c r="S72" i="70" s="1"/>
  <c r="G27" i="58"/>
  <c r="G10" i="58"/>
  <c r="E30" i="56"/>
  <c r="F30" i="56" s="1"/>
  <c r="G30" i="56" s="1"/>
  <c r="H30" i="56" s="1"/>
  <c r="I30" i="56" s="1"/>
  <c r="J30" i="56" s="1"/>
  <c r="K30" i="56" s="1"/>
  <c r="L30" i="56" s="1"/>
  <c r="M30" i="56" s="1"/>
  <c r="N30" i="56" s="1"/>
  <c r="O30" i="56" s="1"/>
  <c r="P30" i="56" s="1"/>
  <c r="Q30" i="56" s="1"/>
  <c r="R30" i="56" s="1"/>
  <c r="S30" i="56" s="1"/>
  <c r="E44" i="56" s="1"/>
  <c r="F44" i="56" s="1"/>
  <c r="G44" i="56" s="1"/>
  <c r="H44" i="56" s="1"/>
  <c r="I44" i="56" s="1"/>
  <c r="J44" i="56" s="1"/>
  <c r="K44" i="56" s="1"/>
  <c r="L44" i="56" s="1"/>
  <c r="M44" i="56" s="1"/>
  <c r="N44" i="56" s="1"/>
  <c r="O44" i="56" s="1"/>
  <c r="P44" i="56" s="1"/>
  <c r="Q44" i="56" s="1"/>
  <c r="R44" i="56" s="1"/>
  <c r="S44" i="56" s="1"/>
  <c r="E173" i="56"/>
  <c r="E13" i="56"/>
  <c r="E12" i="56"/>
  <c r="E9" i="56"/>
  <c r="E147" i="56"/>
  <c r="E39" i="56" s="1"/>
  <c r="E143" i="56"/>
  <c r="E35" i="56" s="1"/>
  <c r="E141" i="56"/>
  <c r="E33" i="56" s="1"/>
  <c r="E140" i="56"/>
  <c r="E34" i="56"/>
  <c r="F2" i="56"/>
  <c r="G2" i="56" s="1"/>
  <c r="H2" i="56" s="1"/>
  <c r="I2" i="56" s="1"/>
  <c r="J2" i="56" s="1"/>
  <c r="K2" i="56" s="1"/>
  <c r="L2" i="56" s="1"/>
  <c r="M2" i="56" s="1"/>
  <c r="N2" i="56" s="1"/>
  <c r="O2" i="56" s="1"/>
  <c r="P2" i="56" s="1"/>
  <c r="Q2" i="56" s="1"/>
  <c r="R2" i="56" s="1"/>
  <c r="S2" i="56" s="1"/>
  <c r="E16" i="56" s="1"/>
  <c r="F16" i="56" s="1"/>
  <c r="G16" i="56" s="1"/>
  <c r="H16" i="56" s="1"/>
  <c r="I16" i="56" s="1"/>
  <c r="J16" i="56" s="1"/>
  <c r="K16" i="56" s="1"/>
  <c r="L16" i="56" s="1"/>
  <c r="M16" i="56" s="1"/>
  <c r="N16" i="56" s="1"/>
  <c r="O16" i="56" s="1"/>
  <c r="P16" i="56" s="1"/>
  <c r="Q16" i="56" s="1"/>
  <c r="R16" i="56" s="1"/>
  <c r="S16" i="56" s="1"/>
  <c r="E58" i="56"/>
  <c r="E152" i="56"/>
  <c r="F152" i="56" s="1"/>
  <c r="E13" i="4"/>
  <c r="E14" i="4" s="1"/>
  <c r="D12" i="4"/>
  <c r="C16" i="53"/>
  <c r="D19" i="53"/>
  <c r="C24" i="53" s="1"/>
  <c r="C32" i="53" s="1"/>
  <c r="E39" i="6"/>
  <c r="D43" i="6" s="1"/>
  <c r="D45" i="6" s="1"/>
  <c r="G2" i="17"/>
  <c r="F9" i="17"/>
  <c r="F4" i="17"/>
  <c r="F5" i="17" s="1"/>
  <c r="I13" i="4"/>
  <c r="I14" i="4" s="1"/>
  <c r="I17" i="4" s="1"/>
  <c r="H13" i="4"/>
  <c r="G13" i="4"/>
  <c r="G14" i="4" s="1"/>
  <c r="G17" i="4" s="1"/>
  <c r="I16" i="58"/>
  <c r="F14" i="58"/>
  <c r="D8" i="17"/>
  <c r="F14" i="4"/>
  <c r="F17" i="4" s="1"/>
  <c r="G13" i="58"/>
  <c r="H2" i="58"/>
  <c r="E71" i="53"/>
  <c r="F2" i="63"/>
  <c r="G2" i="63" s="1"/>
  <c r="H2" i="63" s="1"/>
  <c r="I2" i="63" s="1"/>
  <c r="J2" i="63" s="1"/>
  <c r="K2" i="63" s="1"/>
  <c r="L2" i="63" s="1"/>
  <c r="M2" i="63" s="1"/>
  <c r="N2" i="63" s="1"/>
  <c r="O2" i="63" s="1"/>
  <c r="P2" i="63" s="1"/>
  <c r="Q2" i="63" s="1"/>
  <c r="R2" i="63" s="1"/>
  <c r="S2" i="63" s="1"/>
  <c r="E10" i="63" s="1"/>
  <c r="F10" i="63" s="1"/>
  <c r="G10" i="63" s="1"/>
  <c r="H10" i="63" s="1"/>
  <c r="I10" i="63" s="1"/>
  <c r="J10" i="63" s="1"/>
  <c r="K10" i="63" s="1"/>
  <c r="L10" i="63" s="1"/>
  <c r="M10" i="63" s="1"/>
  <c r="N10" i="63" s="1"/>
  <c r="O10" i="63" s="1"/>
  <c r="P10" i="63" s="1"/>
  <c r="Q10" i="63" s="1"/>
  <c r="R10" i="63" s="1"/>
  <c r="S10" i="63" s="1"/>
  <c r="E19" i="63"/>
  <c r="F19" i="63" s="1"/>
  <c r="G19" i="63" s="1"/>
  <c r="H19" i="63" s="1"/>
  <c r="I19" i="63" s="1"/>
  <c r="J19" i="63" s="1"/>
  <c r="K19" i="63" s="1"/>
  <c r="L19" i="63" s="1"/>
  <c r="M19" i="63" s="1"/>
  <c r="N19" i="63" s="1"/>
  <c r="O19" i="63" s="1"/>
  <c r="P19" i="63" s="1"/>
  <c r="Q19" i="63" s="1"/>
  <c r="R19" i="63" s="1"/>
  <c r="S19" i="63" s="1"/>
  <c r="E27" i="63" s="1"/>
  <c r="F27" i="63" s="1"/>
  <c r="G27" i="63" s="1"/>
  <c r="H27" i="63" s="1"/>
  <c r="I27" i="63" s="1"/>
  <c r="J27" i="63" s="1"/>
  <c r="K27" i="63" s="1"/>
  <c r="L27" i="63" s="1"/>
  <c r="M27" i="63" s="1"/>
  <c r="N27" i="63" s="1"/>
  <c r="O27" i="63" s="1"/>
  <c r="P27" i="63" s="1"/>
  <c r="Q27" i="63" s="1"/>
  <c r="R27" i="63" s="1"/>
  <c r="S27" i="63" s="1"/>
  <c r="E28" i="24"/>
  <c r="F2" i="24"/>
  <c r="E54" i="24"/>
  <c r="D35" i="22"/>
  <c r="D45" i="22" s="1"/>
  <c r="E4" i="17"/>
  <c r="E64" i="70" l="1"/>
  <c r="E44" i="70"/>
  <c r="E67" i="70"/>
  <c r="E47" i="70"/>
  <c r="E65" i="70"/>
  <c r="E45" i="70"/>
  <c r="E68" i="70"/>
  <c r="E48" i="70"/>
  <c r="E49" i="70"/>
  <c r="E69" i="70"/>
  <c r="E46" i="70"/>
  <c r="E66" i="70"/>
  <c r="G2" i="71"/>
  <c r="E236" i="71"/>
  <c r="F154" i="56"/>
  <c r="F155" i="56" s="1"/>
  <c r="E280" i="71"/>
  <c r="F280" i="71" s="1"/>
  <c r="G280" i="71" s="1"/>
  <c r="H280" i="71" s="1"/>
  <c r="I280" i="71" s="1"/>
  <c r="J280" i="71" s="1"/>
  <c r="K280" i="71" s="1"/>
  <c r="L280" i="71" s="1"/>
  <c r="M280" i="71" s="1"/>
  <c r="N280" i="71" s="1"/>
  <c r="O280" i="71" s="1"/>
  <c r="P280" i="71" s="1"/>
  <c r="Q280" i="71" s="1"/>
  <c r="R280" i="71" s="1"/>
  <c r="S280" i="71" s="1"/>
  <c r="E290" i="71" s="1"/>
  <c r="F290" i="71" s="1"/>
  <c r="G290" i="71" s="1"/>
  <c r="H290" i="71" s="1"/>
  <c r="I290" i="71" s="1"/>
  <c r="J290" i="71" s="1"/>
  <c r="K290" i="71" s="1"/>
  <c r="L290" i="71" s="1"/>
  <c r="M290" i="71" s="1"/>
  <c r="N290" i="71" s="1"/>
  <c r="O290" i="71" s="1"/>
  <c r="P290" i="71" s="1"/>
  <c r="Q290" i="71" s="1"/>
  <c r="R290" i="71" s="1"/>
  <c r="S290" i="71" s="1"/>
  <c r="E104" i="71"/>
  <c r="D106" i="71"/>
  <c r="F41" i="55"/>
  <c r="F40" i="55"/>
  <c r="F44" i="55"/>
  <c r="F42" i="55"/>
  <c r="F43" i="55"/>
  <c r="F42" i="71"/>
  <c r="G42" i="71" s="1"/>
  <c r="H42" i="71" s="1"/>
  <c r="I42" i="71" s="1"/>
  <c r="J42" i="71" s="1"/>
  <c r="K42" i="71" s="1"/>
  <c r="L42" i="71" s="1"/>
  <c r="M42" i="71" s="1"/>
  <c r="N42" i="71" s="1"/>
  <c r="O42" i="71" s="1"/>
  <c r="P42" i="71" s="1"/>
  <c r="Q42" i="71" s="1"/>
  <c r="R42" i="71" s="1"/>
  <c r="S42" i="71" s="1"/>
  <c r="E47" i="71" s="1"/>
  <c r="F47" i="71" s="1"/>
  <c r="G47" i="71" s="1"/>
  <c r="H47" i="71" s="1"/>
  <c r="I47" i="71" s="1"/>
  <c r="J47" i="71" s="1"/>
  <c r="K47" i="71" s="1"/>
  <c r="L47" i="71" s="1"/>
  <c r="M47" i="71" s="1"/>
  <c r="N47" i="71" s="1"/>
  <c r="O47" i="71" s="1"/>
  <c r="P47" i="71" s="1"/>
  <c r="Q47" i="71" s="1"/>
  <c r="R47" i="71" s="1"/>
  <c r="S47" i="71" s="1"/>
  <c r="E57" i="71"/>
  <c r="F57" i="71" s="1"/>
  <c r="G57" i="71" s="1"/>
  <c r="H57" i="71" s="1"/>
  <c r="I57" i="71" s="1"/>
  <c r="J57" i="71" s="1"/>
  <c r="K57" i="71" s="1"/>
  <c r="L57" i="71" s="1"/>
  <c r="M57" i="71" s="1"/>
  <c r="N57" i="71" s="1"/>
  <c r="O57" i="71" s="1"/>
  <c r="P57" i="71" s="1"/>
  <c r="Q57" i="71" s="1"/>
  <c r="R57" i="71" s="1"/>
  <c r="S57" i="71" s="1"/>
  <c r="E62" i="71" s="1"/>
  <c r="F62" i="71" s="1"/>
  <c r="G62" i="71" s="1"/>
  <c r="H62" i="71" s="1"/>
  <c r="I62" i="71" s="1"/>
  <c r="J62" i="71" s="1"/>
  <c r="K62" i="71" s="1"/>
  <c r="L62" i="71" s="1"/>
  <c r="M62" i="71" s="1"/>
  <c r="N62" i="71" s="1"/>
  <c r="O62" i="71" s="1"/>
  <c r="P62" i="71" s="1"/>
  <c r="Q62" i="71" s="1"/>
  <c r="R62" i="71" s="1"/>
  <c r="S62" i="71" s="1"/>
  <c r="E10" i="56"/>
  <c r="G14" i="58"/>
  <c r="E32" i="56"/>
  <c r="E144" i="56"/>
  <c r="E36" i="56" s="1"/>
  <c r="H12" i="58"/>
  <c r="H22" i="58"/>
  <c r="E229" i="70"/>
  <c r="F229" i="70" s="1"/>
  <c r="G229" i="70" s="1"/>
  <c r="H229" i="70" s="1"/>
  <c r="I229" i="70" s="1"/>
  <c r="J229" i="70" s="1"/>
  <c r="K229" i="70" s="1"/>
  <c r="L229" i="70" s="1"/>
  <c r="M229" i="70" s="1"/>
  <c r="N229" i="70" s="1"/>
  <c r="O229" i="70" s="1"/>
  <c r="P229" i="70" s="1"/>
  <c r="Q229" i="70" s="1"/>
  <c r="R229" i="70" s="1"/>
  <c r="S229" i="70" s="1"/>
  <c r="E239" i="70" s="1"/>
  <c r="F239" i="70" s="1"/>
  <c r="G239" i="70" s="1"/>
  <c r="H239" i="70" s="1"/>
  <c r="I239" i="70" s="1"/>
  <c r="J239" i="70" s="1"/>
  <c r="K239" i="70" s="1"/>
  <c r="L239" i="70" s="1"/>
  <c r="M239" i="70" s="1"/>
  <c r="N239" i="70" s="1"/>
  <c r="O239" i="70" s="1"/>
  <c r="P239" i="70" s="1"/>
  <c r="Q239" i="70" s="1"/>
  <c r="R239" i="70" s="1"/>
  <c r="S239" i="70" s="1"/>
  <c r="F209" i="70"/>
  <c r="G209" i="70" s="1"/>
  <c r="H209" i="70" s="1"/>
  <c r="I209" i="70" s="1"/>
  <c r="J209" i="70" s="1"/>
  <c r="K209" i="70" s="1"/>
  <c r="L209" i="70" s="1"/>
  <c r="M209" i="70" s="1"/>
  <c r="N209" i="70" s="1"/>
  <c r="O209" i="70" s="1"/>
  <c r="P209" i="70" s="1"/>
  <c r="Q209" i="70" s="1"/>
  <c r="R209" i="70" s="1"/>
  <c r="S209" i="70" s="1"/>
  <c r="E219" i="70" s="1"/>
  <c r="F219" i="70" s="1"/>
  <c r="G219" i="70" s="1"/>
  <c r="H219" i="70" s="1"/>
  <c r="I219" i="70" s="1"/>
  <c r="J219" i="70" s="1"/>
  <c r="K219" i="70" s="1"/>
  <c r="L219" i="70" s="1"/>
  <c r="M219" i="70" s="1"/>
  <c r="N219" i="70" s="1"/>
  <c r="O219" i="70" s="1"/>
  <c r="P219" i="70" s="1"/>
  <c r="Q219" i="70" s="1"/>
  <c r="R219" i="70" s="1"/>
  <c r="S219" i="70" s="1"/>
  <c r="F191" i="70"/>
  <c r="G188" i="70"/>
  <c r="G190" i="70" s="1"/>
  <c r="H27" i="58"/>
  <c r="H10" i="58"/>
  <c r="E11" i="56"/>
  <c r="E7" i="56"/>
  <c r="E6" i="56"/>
  <c r="E4" i="56"/>
  <c r="E5" i="56"/>
  <c r="E201" i="56"/>
  <c r="F201" i="56" s="1"/>
  <c r="G201" i="56" s="1"/>
  <c r="H201" i="56" s="1"/>
  <c r="I201" i="56" s="1"/>
  <c r="J201" i="56" s="1"/>
  <c r="K201" i="56" s="1"/>
  <c r="L201" i="56" s="1"/>
  <c r="M201" i="56" s="1"/>
  <c r="N201" i="56" s="1"/>
  <c r="O201" i="56" s="1"/>
  <c r="P201" i="56" s="1"/>
  <c r="Q201" i="56" s="1"/>
  <c r="R201" i="56" s="1"/>
  <c r="S201" i="56" s="1"/>
  <c r="E215" i="56" s="1"/>
  <c r="F215" i="56" s="1"/>
  <c r="G215" i="56" s="1"/>
  <c r="H215" i="56" s="1"/>
  <c r="I215" i="56" s="1"/>
  <c r="J215" i="56" s="1"/>
  <c r="K215" i="56" s="1"/>
  <c r="L215" i="56" s="1"/>
  <c r="M215" i="56" s="1"/>
  <c r="N215" i="56" s="1"/>
  <c r="O215" i="56" s="1"/>
  <c r="P215" i="56" s="1"/>
  <c r="Q215" i="56" s="1"/>
  <c r="R215" i="56" s="1"/>
  <c r="S215" i="56" s="1"/>
  <c r="F173" i="56"/>
  <c r="G173" i="56" s="1"/>
  <c r="H173" i="56" s="1"/>
  <c r="I173" i="56" s="1"/>
  <c r="J173" i="56" s="1"/>
  <c r="K173" i="56" s="1"/>
  <c r="L173" i="56" s="1"/>
  <c r="M173" i="56" s="1"/>
  <c r="N173" i="56" s="1"/>
  <c r="O173" i="56" s="1"/>
  <c r="P173" i="56" s="1"/>
  <c r="Q173" i="56" s="1"/>
  <c r="R173" i="56" s="1"/>
  <c r="S173" i="56" s="1"/>
  <c r="E187" i="56" s="1"/>
  <c r="F187" i="56" s="1"/>
  <c r="G187" i="56" s="1"/>
  <c r="H187" i="56" s="1"/>
  <c r="I187" i="56" s="1"/>
  <c r="J187" i="56" s="1"/>
  <c r="K187" i="56" s="1"/>
  <c r="L187" i="56" s="1"/>
  <c r="M187" i="56" s="1"/>
  <c r="N187" i="56" s="1"/>
  <c r="O187" i="56" s="1"/>
  <c r="P187" i="56" s="1"/>
  <c r="Q187" i="56" s="1"/>
  <c r="R187" i="56" s="1"/>
  <c r="S187" i="56" s="1"/>
  <c r="F58" i="56"/>
  <c r="G152" i="56"/>
  <c r="E17" i="4"/>
  <c r="D13" i="4"/>
  <c r="I43" i="6"/>
  <c r="I45" i="6" s="1"/>
  <c r="G9" i="17"/>
  <c r="G4" i="17"/>
  <c r="G5" i="17" s="1"/>
  <c r="H2" i="17"/>
  <c r="H14" i="4"/>
  <c r="H17" i="4" s="1"/>
  <c r="J16" i="58"/>
  <c r="E78" i="53"/>
  <c r="I2" i="58"/>
  <c r="H13" i="58"/>
  <c r="E2" i="53"/>
  <c r="F2" i="53" s="1"/>
  <c r="G2" i="53" s="1"/>
  <c r="H2" i="53" s="1"/>
  <c r="I2" i="53" s="1"/>
  <c r="J2" i="53" s="1"/>
  <c r="K2" i="53" s="1"/>
  <c r="L2" i="53" s="1"/>
  <c r="M2" i="53" s="1"/>
  <c r="N2" i="53" s="1"/>
  <c r="O2" i="53" s="1"/>
  <c r="P2" i="53" s="1"/>
  <c r="Q2" i="53" s="1"/>
  <c r="R2" i="53" s="1"/>
  <c r="S2" i="53" s="1"/>
  <c r="E10" i="53" s="1"/>
  <c r="F10" i="53" s="1"/>
  <c r="G10" i="53" s="1"/>
  <c r="H10" i="53" s="1"/>
  <c r="I10" i="53" s="1"/>
  <c r="J10" i="53" s="1"/>
  <c r="K10" i="53" s="1"/>
  <c r="L10" i="53" s="1"/>
  <c r="M10" i="53" s="1"/>
  <c r="N10" i="53" s="1"/>
  <c r="O10" i="53" s="1"/>
  <c r="P10" i="53" s="1"/>
  <c r="Q10" i="53" s="1"/>
  <c r="R10" i="53" s="1"/>
  <c r="S10" i="53" s="1"/>
  <c r="F71" i="53"/>
  <c r="F20" i="55"/>
  <c r="G2" i="55"/>
  <c r="H2" i="55" s="1"/>
  <c r="I2" i="55" s="1"/>
  <c r="J2" i="55" s="1"/>
  <c r="K2" i="55" s="1"/>
  <c r="L2" i="55" s="1"/>
  <c r="M2" i="55" s="1"/>
  <c r="N2" i="55" s="1"/>
  <c r="O2" i="55" s="1"/>
  <c r="P2" i="55" s="1"/>
  <c r="Q2" i="55" s="1"/>
  <c r="R2" i="55" s="1"/>
  <c r="S2" i="55" s="1"/>
  <c r="T2" i="55" s="1"/>
  <c r="F11" i="55" s="1"/>
  <c r="G11" i="55" s="1"/>
  <c r="H11" i="55" s="1"/>
  <c r="I11" i="55" s="1"/>
  <c r="J11" i="55" s="1"/>
  <c r="K11" i="55" s="1"/>
  <c r="L11" i="55" s="1"/>
  <c r="M11" i="55" s="1"/>
  <c r="N11" i="55" s="1"/>
  <c r="O11" i="55" s="1"/>
  <c r="P11" i="55" s="1"/>
  <c r="Q11" i="55" s="1"/>
  <c r="R11" i="55" s="1"/>
  <c r="S11" i="55" s="1"/>
  <c r="T11" i="55" s="1"/>
  <c r="E5" i="17"/>
  <c r="E102" i="24"/>
  <c r="F54" i="24"/>
  <c r="G2" i="24"/>
  <c r="F28" i="24"/>
  <c r="E50" i="70" l="1"/>
  <c r="E70" i="70"/>
  <c r="E242" i="71"/>
  <c r="E241" i="71"/>
  <c r="E237" i="71"/>
  <c r="E238" i="71"/>
  <c r="E240" i="71"/>
  <c r="E239" i="71"/>
  <c r="E28" i="71"/>
  <c r="E29" i="71"/>
  <c r="E24" i="71"/>
  <c r="E7" i="71"/>
  <c r="E5" i="71"/>
  <c r="E6" i="71"/>
  <c r="E25" i="71"/>
  <c r="E8" i="71"/>
  <c r="E27" i="71"/>
  <c r="E26" i="71"/>
  <c r="E9" i="71"/>
  <c r="E4" i="71"/>
  <c r="H2" i="71"/>
  <c r="F236" i="71"/>
  <c r="F9" i="56"/>
  <c r="F39" i="56"/>
  <c r="F7" i="56"/>
  <c r="F40" i="56"/>
  <c r="F10" i="56"/>
  <c r="F34" i="56"/>
  <c r="F41" i="56"/>
  <c r="F6" i="56"/>
  <c r="F12" i="56"/>
  <c r="F5" i="56"/>
  <c r="F32" i="56"/>
  <c r="F38" i="56"/>
  <c r="F4" i="56"/>
  <c r="F13" i="56"/>
  <c r="F33" i="56"/>
  <c r="F11" i="56"/>
  <c r="F35" i="56"/>
  <c r="F37" i="56"/>
  <c r="G154" i="56"/>
  <c r="G155" i="56" s="1"/>
  <c r="E42" i="56"/>
  <c r="E106" i="71"/>
  <c r="F104" i="71"/>
  <c r="H14" i="58"/>
  <c r="F45" i="55"/>
  <c r="F6" i="58" s="1"/>
  <c r="I12" i="58"/>
  <c r="I22" i="58"/>
  <c r="F36" i="56"/>
  <c r="H188" i="70"/>
  <c r="H190" i="70" s="1"/>
  <c r="G191" i="70"/>
  <c r="I27" i="58"/>
  <c r="I10" i="58"/>
  <c r="E7" i="17"/>
  <c r="F5" i="58"/>
  <c r="E61" i="56"/>
  <c r="E8" i="56"/>
  <c r="E14" i="56" s="1"/>
  <c r="F8" i="56"/>
  <c r="G58" i="56"/>
  <c r="H152" i="56"/>
  <c r="G20" i="55"/>
  <c r="H20" i="55" s="1"/>
  <c r="I20" i="55" s="1"/>
  <c r="J20" i="55" s="1"/>
  <c r="K20" i="55" s="1"/>
  <c r="L20" i="55" s="1"/>
  <c r="M20" i="55" s="1"/>
  <c r="N20" i="55" s="1"/>
  <c r="O20" i="55" s="1"/>
  <c r="P20" i="55" s="1"/>
  <c r="Q20" i="55" s="1"/>
  <c r="R20" i="55" s="1"/>
  <c r="S20" i="55" s="1"/>
  <c r="T20" i="55" s="1"/>
  <c r="F29" i="55" s="1"/>
  <c r="G29" i="55" s="1"/>
  <c r="H29" i="55" s="1"/>
  <c r="I29" i="55" s="1"/>
  <c r="J29" i="55" s="1"/>
  <c r="K29" i="55" s="1"/>
  <c r="L29" i="55" s="1"/>
  <c r="M29" i="55" s="1"/>
  <c r="N29" i="55" s="1"/>
  <c r="O29" i="55" s="1"/>
  <c r="P29" i="55" s="1"/>
  <c r="Q29" i="55" s="1"/>
  <c r="R29" i="55" s="1"/>
  <c r="S29" i="55" s="1"/>
  <c r="T29" i="55" s="1"/>
  <c r="F38" i="55"/>
  <c r="D17" i="4"/>
  <c r="D14" i="4"/>
  <c r="H4" i="17"/>
  <c r="H5" i="17" s="1"/>
  <c r="H9" i="17"/>
  <c r="I2" i="17"/>
  <c r="J2" i="17" s="1"/>
  <c r="E109" i="24"/>
  <c r="E110" i="24"/>
  <c r="E116" i="24"/>
  <c r="E111" i="24"/>
  <c r="E113" i="24"/>
  <c r="E117" i="24"/>
  <c r="E112" i="24"/>
  <c r="E114" i="24"/>
  <c r="E115" i="24"/>
  <c r="E106" i="24"/>
  <c r="E105" i="24"/>
  <c r="E107" i="24"/>
  <c r="E108" i="24"/>
  <c r="K16" i="58"/>
  <c r="F78" i="53"/>
  <c r="J2" i="58"/>
  <c r="I13" i="58"/>
  <c r="E18" i="53"/>
  <c r="F18" i="53" s="1"/>
  <c r="G18" i="53" s="1"/>
  <c r="H18" i="53" s="1"/>
  <c r="I18" i="53" s="1"/>
  <c r="J18" i="53" s="1"/>
  <c r="K18" i="53" s="1"/>
  <c r="L18" i="53" s="1"/>
  <c r="M18" i="53" s="1"/>
  <c r="N18" i="53" s="1"/>
  <c r="O18" i="53" s="1"/>
  <c r="P18" i="53" s="1"/>
  <c r="Q18" i="53" s="1"/>
  <c r="R18" i="53" s="1"/>
  <c r="S18" i="53" s="1"/>
  <c r="E26" i="53" s="1"/>
  <c r="F26" i="53" s="1"/>
  <c r="G26" i="53" s="1"/>
  <c r="H26" i="53" s="1"/>
  <c r="I26" i="53" s="1"/>
  <c r="J26" i="53" s="1"/>
  <c r="K26" i="53" s="1"/>
  <c r="L26" i="53" s="1"/>
  <c r="M26" i="53" s="1"/>
  <c r="N26" i="53" s="1"/>
  <c r="O26" i="53" s="1"/>
  <c r="P26" i="53" s="1"/>
  <c r="Q26" i="53" s="1"/>
  <c r="R26" i="53" s="1"/>
  <c r="S26" i="53" s="1"/>
  <c r="G71" i="53"/>
  <c r="H2" i="24"/>
  <c r="G28" i="24"/>
  <c r="G54" i="24"/>
  <c r="F102" i="24"/>
  <c r="F104" i="24" s="1"/>
  <c r="E137" i="24"/>
  <c r="E173" i="24" s="1"/>
  <c r="E84" i="70" l="1"/>
  <c r="E85" i="70" s="1"/>
  <c r="F8" i="58" s="1"/>
  <c r="F66" i="70"/>
  <c r="F46" i="70"/>
  <c r="F47" i="70"/>
  <c r="F67" i="70"/>
  <c r="F65" i="70"/>
  <c r="F45" i="70"/>
  <c r="F44" i="70"/>
  <c r="F64" i="70"/>
  <c r="F48" i="70"/>
  <c r="F68" i="70"/>
  <c r="F69" i="70"/>
  <c r="F49" i="70"/>
  <c r="F240" i="71"/>
  <c r="F242" i="71"/>
  <c r="F238" i="71"/>
  <c r="F241" i="71"/>
  <c r="F237" i="71"/>
  <c r="F239" i="71"/>
  <c r="F61" i="56"/>
  <c r="F7" i="71"/>
  <c r="F265" i="71" s="1"/>
  <c r="F26" i="71"/>
  <c r="F284" i="71" s="1"/>
  <c r="F8" i="71"/>
  <c r="F266" i="71" s="1"/>
  <c r="F27" i="71"/>
  <c r="F285" i="71" s="1"/>
  <c r="F28" i="71"/>
  <c r="F286" i="71" s="1"/>
  <c r="F9" i="71"/>
  <c r="F267" i="71" s="1"/>
  <c r="F4" i="71"/>
  <c r="F29" i="71"/>
  <c r="F287" i="71" s="1"/>
  <c r="F5" i="71"/>
  <c r="F263" i="71" s="1"/>
  <c r="F24" i="71"/>
  <c r="F6" i="71"/>
  <c r="F264" i="71" s="1"/>
  <c r="F25" i="71"/>
  <c r="F283" i="71" s="1"/>
  <c r="F42" i="56"/>
  <c r="I2" i="71"/>
  <c r="G236" i="71"/>
  <c r="G41" i="56"/>
  <c r="G5" i="56"/>
  <c r="G34" i="56"/>
  <c r="G10" i="56"/>
  <c r="G32" i="56"/>
  <c r="G9" i="56"/>
  <c r="G12" i="56"/>
  <c r="G7" i="56"/>
  <c r="G36" i="56"/>
  <c r="G13" i="56"/>
  <c r="G38" i="56"/>
  <c r="G40" i="56"/>
  <c r="G8" i="56"/>
  <c r="G4" i="56"/>
  <c r="G6" i="56"/>
  <c r="G33" i="56"/>
  <c r="G35" i="56"/>
  <c r="G37" i="56"/>
  <c r="G39" i="56"/>
  <c r="G11" i="56"/>
  <c r="H154" i="56"/>
  <c r="H155" i="56" s="1"/>
  <c r="I14" i="58"/>
  <c r="E265" i="71"/>
  <c r="E266" i="71"/>
  <c r="E264" i="71"/>
  <c r="E282" i="71"/>
  <c r="E30" i="71"/>
  <c r="E267" i="71"/>
  <c r="E263" i="71"/>
  <c r="E284" i="71"/>
  <c r="E287" i="71"/>
  <c r="E283" i="71"/>
  <c r="E286" i="71"/>
  <c r="E262" i="71"/>
  <c r="E10" i="71"/>
  <c r="E285" i="71"/>
  <c r="F106" i="71"/>
  <c r="G104" i="71"/>
  <c r="J12" i="58"/>
  <c r="J22" i="58"/>
  <c r="I188" i="70"/>
  <c r="I190" i="70" s="1"/>
  <c r="H191" i="70"/>
  <c r="J27" i="58"/>
  <c r="J10" i="58"/>
  <c r="F7" i="17"/>
  <c r="G5" i="58"/>
  <c r="F60" i="56"/>
  <c r="F62" i="56" s="1"/>
  <c r="G7" i="58" s="1"/>
  <c r="E60" i="56"/>
  <c r="E62" i="56" s="1"/>
  <c r="F7" i="58" s="1"/>
  <c r="H58" i="56"/>
  <c r="I152" i="56"/>
  <c r="F14" i="56"/>
  <c r="G38" i="55"/>
  <c r="H38" i="55" s="1"/>
  <c r="I38" i="55" s="1"/>
  <c r="J38" i="55" s="1"/>
  <c r="K38" i="55" s="1"/>
  <c r="L38" i="55" s="1"/>
  <c r="M38" i="55" s="1"/>
  <c r="N38" i="55" s="1"/>
  <c r="O38" i="55" s="1"/>
  <c r="P38" i="55" s="1"/>
  <c r="Q38" i="55" s="1"/>
  <c r="R38" i="55" s="1"/>
  <c r="S38" i="55" s="1"/>
  <c r="T38" i="55" s="1"/>
  <c r="F47" i="55" s="1"/>
  <c r="G47" i="55" s="1"/>
  <c r="H47" i="55" s="1"/>
  <c r="I47" i="55" s="1"/>
  <c r="J47" i="55" s="1"/>
  <c r="K47" i="55" s="1"/>
  <c r="L47" i="55" s="1"/>
  <c r="M47" i="55" s="1"/>
  <c r="N47" i="55" s="1"/>
  <c r="O47" i="55" s="1"/>
  <c r="P47" i="55" s="1"/>
  <c r="Q47" i="55" s="1"/>
  <c r="R47" i="55" s="1"/>
  <c r="S47" i="55" s="1"/>
  <c r="T47" i="55" s="1"/>
  <c r="F80" i="55"/>
  <c r="G80" i="55" s="1"/>
  <c r="G82" i="55" s="1"/>
  <c r="I4" i="17"/>
  <c r="I5" i="17" s="1"/>
  <c r="I9" i="17"/>
  <c r="L16" i="58"/>
  <c r="G78" i="53"/>
  <c r="J13" i="58"/>
  <c r="K2" i="58"/>
  <c r="H71" i="53"/>
  <c r="E189" i="24"/>
  <c r="E32" i="24" s="1"/>
  <c r="E39" i="24" s="1"/>
  <c r="E153" i="24"/>
  <c r="E6" i="24" s="1"/>
  <c r="H28" i="24"/>
  <c r="F137" i="24"/>
  <c r="F173" i="24" s="1"/>
  <c r="F112" i="24"/>
  <c r="I2" i="24"/>
  <c r="J9" i="17"/>
  <c r="J4" i="17"/>
  <c r="K2" i="17"/>
  <c r="H54" i="24"/>
  <c r="G102" i="24"/>
  <c r="G104" i="24" s="1"/>
  <c r="H35" i="56" l="1"/>
  <c r="H8" i="56"/>
  <c r="H38" i="56"/>
  <c r="H34" i="56"/>
  <c r="H6" i="56"/>
  <c r="H37" i="56"/>
  <c r="H41" i="56"/>
  <c r="H13" i="56"/>
  <c r="F70" i="70"/>
  <c r="F50" i="70"/>
  <c r="G66" i="70"/>
  <c r="G46" i="70"/>
  <c r="G64" i="70"/>
  <c r="G44" i="70"/>
  <c r="G68" i="70"/>
  <c r="G48" i="70"/>
  <c r="G45" i="70"/>
  <c r="G65" i="70"/>
  <c r="G69" i="70"/>
  <c r="G49" i="70"/>
  <c r="G47" i="70"/>
  <c r="G67" i="70"/>
  <c r="H5" i="56"/>
  <c r="H4" i="56"/>
  <c r="H10" i="56"/>
  <c r="H36" i="56"/>
  <c r="H9" i="56"/>
  <c r="H32" i="56"/>
  <c r="G237" i="71"/>
  <c r="G238" i="71"/>
  <c r="G242" i="71"/>
  <c r="G241" i="71"/>
  <c r="G239" i="71"/>
  <c r="G240" i="71"/>
  <c r="H12" i="56"/>
  <c r="H39" i="56"/>
  <c r="H33" i="56"/>
  <c r="H7" i="56"/>
  <c r="H40" i="56"/>
  <c r="G61" i="56"/>
  <c r="G14" i="56"/>
  <c r="H11" i="56"/>
  <c r="G42" i="56"/>
  <c r="G60" i="56"/>
  <c r="G25" i="71"/>
  <c r="G7" i="71"/>
  <c r="G265" i="71" s="1"/>
  <c r="G26" i="71"/>
  <c r="G8" i="71"/>
  <c r="G266" i="71" s="1"/>
  <c r="G27" i="71"/>
  <c r="G9" i="71"/>
  <c r="G28" i="71"/>
  <c r="G29" i="71"/>
  <c r="G287" i="71" s="1"/>
  <c r="G4" i="71"/>
  <c r="G5" i="71"/>
  <c r="G263" i="71" s="1"/>
  <c r="G6" i="71"/>
  <c r="G24" i="71"/>
  <c r="J2" i="71"/>
  <c r="H236" i="71"/>
  <c r="I154" i="56"/>
  <c r="I155" i="56" s="1"/>
  <c r="E44" i="71"/>
  <c r="E288" i="71"/>
  <c r="E268" i="71"/>
  <c r="F262" i="71"/>
  <c r="F268" i="71" s="1"/>
  <c r="F10" i="71"/>
  <c r="F282" i="71"/>
  <c r="F288" i="71" s="1"/>
  <c r="F30" i="71"/>
  <c r="G106" i="71"/>
  <c r="H104" i="71"/>
  <c r="J14" i="58"/>
  <c r="K12" i="58"/>
  <c r="K22" i="58"/>
  <c r="I191" i="70"/>
  <c r="J188" i="70"/>
  <c r="J190" i="70" s="1"/>
  <c r="K27" i="58"/>
  <c r="K10" i="58"/>
  <c r="G7" i="17"/>
  <c r="H5" i="58"/>
  <c r="J152" i="56"/>
  <c r="I58" i="56"/>
  <c r="H80" i="55"/>
  <c r="H82" i="55" s="1"/>
  <c r="M16" i="58"/>
  <c r="E13" i="24"/>
  <c r="H78" i="53"/>
  <c r="K13" i="58"/>
  <c r="L2" i="58"/>
  <c r="L22" i="58" s="1"/>
  <c r="I71" i="53"/>
  <c r="F111" i="24"/>
  <c r="F109" i="24"/>
  <c r="F108" i="24"/>
  <c r="F114" i="24"/>
  <c r="F106" i="24"/>
  <c r="F110" i="24"/>
  <c r="F116" i="24"/>
  <c r="F107" i="24"/>
  <c r="F115" i="24"/>
  <c r="F113" i="24"/>
  <c r="F117" i="24"/>
  <c r="F105" i="24"/>
  <c r="F153" i="24" s="1"/>
  <c r="J2" i="24"/>
  <c r="G137" i="24"/>
  <c r="G173" i="24" s="1"/>
  <c r="L2" i="17"/>
  <c r="K4" i="17"/>
  <c r="K5" i="17" s="1"/>
  <c r="K9" i="17"/>
  <c r="J5" i="17"/>
  <c r="I54" i="24"/>
  <c r="H102" i="24"/>
  <c r="H104" i="24" s="1"/>
  <c r="I28" i="24"/>
  <c r="F84" i="70" l="1"/>
  <c r="F85" i="70" s="1"/>
  <c r="G62" i="56"/>
  <c r="H7" i="58" s="1"/>
  <c r="H14" i="56"/>
  <c r="G50" i="70"/>
  <c r="G70" i="70"/>
  <c r="H66" i="70"/>
  <c r="H46" i="70"/>
  <c r="H65" i="70"/>
  <c r="H45" i="70"/>
  <c r="H47" i="70"/>
  <c r="H67" i="70"/>
  <c r="H68" i="70"/>
  <c r="H48" i="70"/>
  <c r="H69" i="70"/>
  <c r="H49" i="70"/>
  <c r="H64" i="70"/>
  <c r="H44" i="70"/>
  <c r="H61" i="56"/>
  <c r="H60" i="56"/>
  <c r="H241" i="71"/>
  <c r="H238" i="71"/>
  <c r="H239" i="71"/>
  <c r="H242" i="71"/>
  <c r="H237" i="71"/>
  <c r="H240" i="71"/>
  <c r="H42" i="56"/>
  <c r="H6" i="71"/>
  <c r="H264" i="71" s="1"/>
  <c r="H25" i="71"/>
  <c r="H283" i="71" s="1"/>
  <c r="H7" i="71"/>
  <c r="H27" i="71"/>
  <c r="H285" i="71" s="1"/>
  <c r="H26" i="71"/>
  <c r="H284" i="71" s="1"/>
  <c r="H8" i="71"/>
  <c r="H9" i="71"/>
  <c r="H267" i="71" s="1"/>
  <c r="H4" i="71"/>
  <c r="H28" i="71"/>
  <c r="H286" i="71" s="1"/>
  <c r="H29" i="71"/>
  <c r="H24" i="71"/>
  <c r="H5" i="71"/>
  <c r="K2" i="71"/>
  <c r="I236" i="71"/>
  <c r="I39" i="56"/>
  <c r="I33" i="56"/>
  <c r="I9" i="56"/>
  <c r="I10" i="56"/>
  <c r="I11" i="56"/>
  <c r="I6" i="56"/>
  <c r="I37" i="56"/>
  <c r="I41" i="56"/>
  <c r="I12" i="56"/>
  <c r="I13" i="56"/>
  <c r="I7" i="56"/>
  <c r="I35" i="56"/>
  <c r="I34" i="56"/>
  <c r="I36" i="56"/>
  <c r="I38" i="56"/>
  <c r="I4" i="56"/>
  <c r="I40" i="56"/>
  <c r="I5" i="56"/>
  <c r="I32" i="56"/>
  <c r="I8" i="56"/>
  <c r="J154" i="56"/>
  <c r="J155" i="56" s="1"/>
  <c r="F44" i="71"/>
  <c r="F45" i="71" s="1"/>
  <c r="G9" i="58" s="1"/>
  <c r="F59" i="71"/>
  <c r="F60" i="71" s="1"/>
  <c r="G285" i="71"/>
  <c r="G264" i="71"/>
  <c r="G286" i="71"/>
  <c r="G282" i="71"/>
  <c r="G30" i="71"/>
  <c r="G262" i="71"/>
  <c r="G10" i="71"/>
  <c r="E45" i="71"/>
  <c r="G284" i="71"/>
  <c r="E59" i="71"/>
  <c r="G267" i="71"/>
  <c r="G283" i="71"/>
  <c r="H106" i="71"/>
  <c r="I104" i="71"/>
  <c r="K14" i="58"/>
  <c r="G84" i="70"/>
  <c r="G85" i="70" s="1"/>
  <c r="H8" i="58" s="1"/>
  <c r="K188" i="70"/>
  <c r="K190" i="70" s="1"/>
  <c r="J191" i="70"/>
  <c r="G8" i="58"/>
  <c r="L12" i="58"/>
  <c r="L27" i="58"/>
  <c r="L10" i="58"/>
  <c r="H7" i="17"/>
  <c r="I5" i="58"/>
  <c r="K152" i="56"/>
  <c r="J58" i="56"/>
  <c r="I80" i="55"/>
  <c r="I82" i="55" s="1"/>
  <c r="G84" i="55"/>
  <c r="G85" i="55"/>
  <c r="G83" i="55"/>
  <c r="N16" i="58"/>
  <c r="E58" i="24"/>
  <c r="I78" i="53"/>
  <c r="L13" i="58"/>
  <c r="M2" i="58"/>
  <c r="M22" i="58" s="1"/>
  <c r="J71" i="53"/>
  <c r="G108" i="24"/>
  <c r="G111" i="24"/>
  <c r="G114" i="24"/>
  <c r="G113" i="24"/>
  <c r="G105" i="24"/>
  <c r="G153" i="24" s="1"/>
  <c r="F189" i="24"/>
  <c r="F32" i="24" s="1"/>
  <c r="F6" i="24"/>
  <c r="F13" i="24" s="1"/>
  <c r="G106" i="24"/>
  <c r="G109" i="24"/>
  <c r="K2" i="24"/>
  <c r="I102" i="24"/>
  <c r="I104" i="24" s="1"/>
  <c r="J54" i="24"/>
  <c r="G112" i="24"/>
  <c r="G117" i="24"/>
  <c r="G115" i="24"/>
  <c r="G110" i="24"/>
  <c r="E65" i="24"/>
  <c r="J28" i="24"/>
  <c r="M2" i="17"/>
  <c r="L9" i="17"/>
  <c r="L4" i="17"/>
  <c r="L5" i="17" s="1"/>
  <c r="G107" i="24"/>
  <c r="G116" i="24"/>
  <c r="H137" i="24"/>
  <c r="H173" i="24" s="1"/>
  <c r="H62" i="56" l="1"/>
  <c r="I7" i="58" s="1"/>
  <c r="H50" i="70"/>
  <c r="H70" i="70"/>
  <c r="I67" i="70"/>
  <c r="I47" i="70"/>
  <c r="I49" i="70"/>
  <c r="I69" i="70"/>
  <c r="I46" i="70"/>
  <c r="I66" i="70"/>
  <c r="I44" i="70"/>
  <c r="I64" i="70"/>
  <c r="I45" i="70"/>
  <c r="I65" i="70"/>
  <c r="I48" i="70"/>
  <c r="I68" i="70"/>
  <c r="I242" i="71"/>
  <c r="I238" i="71"/>
  <c r="I241" i="71"/>
  <c r="I237" i="71"/>
  <c r="I240" i="71"/>
  <c r="I239" i="71"/>
  <c r="I42" i="56"/>
  <c r="I24" i="71"/>
  <c r="I6" i="71"/>
  <c r="I25" i="71"/>
  <c r="I7" i="71"/>
  <c r="I265" i="71" s="1"/>
  <c r="I8" i="71"/>
  <c r="I266" i="71" s="1"/>
  <c r="I26" i="71"/>
  <c r="I27" i="71"/>
  <c r="I285" i="71" s="1"/>
  <c r="I9" i="71"/>
  <c r="I28" i="71"/>
  <c r="I4" i="71"/>
  <c r="I29" i="71"/>
  <c r="I287" i="71" s="1"/>
  <c r="I5" i="71"/>
  <c r="I263" i="71" s="1"/>
  <c r="I60" i="56"/>
  <c r="I61" i="56"/>
  <c r="L2" i="71"/>
  <c r="J236" i="71"/>
  <c r="J35" i="56"/>
  <c r="J33" i="56"/>
  <c r="J8" i="56"/>
  <c r="J37" i="56"/>
  <c r="J39" i="56"/>
  <c r="J9" i="56"/>
  <c r="J41" i="56"/>
  <c r="J13" i="56"/>
  <c r="J12" i="56"/>
  <c r="J10" i="56"/>
  <c r="J32" i="56"/>
  <c r="J34" i="56"/>
  <c r="J7" i="56"/>
  <c r="J38" i="56"/>
  <c r="J36" i="56"/>
  <c r="J6" i="56"/>
  <c r="J40" i="56"/>
  <c r="J5" i="56"/>
  <c r="J11" i="56"/>
  <c r="J4" i="56"/>
  <c r="I14" i="56"/>
  <c r="K154" i="56"/>
  <c r="K155" i="56" s="1"/>
  <c r="G44" i="71"/>
  <c r="G45" i="71" s="1"/>
  <c r="H9" i="58" s="1"/>
  <c r="E60" i="71"/>
  <c r="H265" i="71"/>
  <c r="H266" i="71"/>
  <c r="H287" i="71"/>
  <c r="H263" i="71"/>
  <c r="G288" i="71"/>
  <c r="H262" i="71"/>
  <c r="H10" i="71"/>
  <c r="F9" i="58"/>
  <c r="G268" i="71"/>
  <c r="H282" i="71"/>
  <c r="H30" i="71"/>
  <c r="I106" i="71"/>
  <c r="J104" i="71"/>
  <c r="G43" i="55"/>
  <c r="G41" i="55"/>
  <c r="G42" i="55"/>
  <c r="G40" i="55"/>
  <c r="G44" i="55"/>
  <c r="H84" i="70"/>
  <c r="H85" i="70" s="1"/>
  <c r="I8" i="58" s="1"/>
  <c r="L14" i="58"/>
  <c r="H83" i="55"/>
  <c r="L152" i="56"/>
  <c r="K191" i="70"/>
  <c r="L188" i="70"/>
  <c r="L190" i="70" s="1"/>
  <c r="E6" i="17"/>
  <c r="E10" i="17" s="1"/>
  <c r="E11" i="17" s="1"/>
  <c r="F4" i="58"/>
  <c r="M27" i="58"/>
  <c r="M10" i="58"/>
  <c r="M12" i="58"/>
  <c r="I7" i="17"/>
  <c r="J5" i="58"/>
  <c r="K58" i="56"/>
  <c r="H85" i="55"/>
  <c r="J80" i="55"/>
  <c r="J82" i="55" s="1"/>
  <c r="H84" i="55"/>
  <c r="O16" i="58"/>
  <c r="G189" i="24"/>
  <c r="G32" i="24" s="1"/>
  <c r="G39" i="24" s="1"/>
  <c r="J78" i="53"/>
  <c r="F39" i="24"/>
  <c r="F65" i="24" s="1"/>
  <c r="M13" i="58"/>
  <c r="N2" i="58"/>
  <c r="N22" i="58" s="1"/>
  <c r="K71" i="53"/>
  <c r="H111" i="24"/>
  <c r="F58" i="24"/>
  <c r="H112" i="24"/>
  <c r="H108" i="24"/>
  <c r="L2" i="24"/>
  <c r="J102" i="24"/>
  <c r="J104" i="24" s="1"/>
  <c r="K54" i="24"/>
  <c r="H117" i="24"/>
  <c r="I137" i="24"/>
  <c r="I173" i="24" s="1"/>
  <c r="M9" i="17"/>
  <c r="N2" i="17"/>
  <c r="M4" i="17"/>
  <c r="H110" i="24"/>
  <c r="K28" i="24"/>
  <c r="H114" i="24"/>
  <c r="H105" i="24"/>
  <c r="H113" i="24"/>
  <c r="H106" i="24"/>
  <c r="H109" i="24"/>
  <c r="H116" i="24"/>
  <c r="G6" i="24"/>
  <c r="G13" i="24" s="1"/>
  <c r="H107" i="24"/>
  <c r="H115" i="24"/>
  <c r="I62" i="56" l="1"/>
  <c r="J7" i="58" s="1"/>
  <c r="I70" i="70"/>
  <c r="I50" i="70"/>
  <c r="J46" i="70"/>
  <c r="J66" i="70"/>
  <c r="J67" i="70"/>
  <c r="J47" i="70"/>
  <c r="J44" i="70"/>
  <c r="J64" i="70"/>
  <c r="J68" i="70"/>
  <c r="J48" i="70"/>
  <c r="J45" i="70"/>
  <c r="J65" i="70"/>
  <c r="J69" i="70"/>
  <c r="J49" i="70"/>
  <c r="J42" i="56"/>
  <c r="J239" i="71"/>
  <c r="J240" i="71"/>
  <c r="J242" i="71"/>
  <c r="J241" i="71"/>
  <c r="J237" i="71"/>
  <c r="J238" i="71"/>
  <c r="J5" i="71"/>
  <c r="J24" i="71"/>
  <c r="J6" i="71"/>
  <c r="J264" i="71" s="1"/>
  <c r="J25" i="71"/>
  <c r="J7" i="71"/>
  <c r="J265" i="71" s="1"/>
  <c r="J26" i="71"/>
  <c r="J284" i="71" s="1"/>
  <c r="J8" i="71"/>
  <c r="J9" i="71"/>
  <c r="J27" i="71"/>
  <c r="J28" i="71"/>
  <c r="J286" i="71" s="1"/>
  <c r="J29" i="71"/>
  <c r="J287" i="71" s="1"/>
  <c r="J4" i="71"/>
  <c r="J60" i="56"/>
  <c r="J61" i="56"/>
  <c r="M2" i="71"/>
  <c r="K236" i="71"/>
  <c r="K38" i="56"/>
  <c r="K9" i="56"/>
  <c r="K13" i="56"/>
  <c r="K10" i="56"/>
  <c r="K36" i="56"/>
  <c r="K11" i="56"/>
  <c r="K39" i="56"/>
  <c r="K5" i="56"/>
  <c r="K33" i="56"/>
  <c r="K6" i="56"/>
  <c r="K35" i="56"/>
  <c r="K37" i="56"/>
  <c r="K8" i="56"/>
  <c r="K40" i="56"/>
  <c r="K7" i="56"/>
  <c r="K41" i="56"/>
  <c r="K32" i="56"/>
  <c r="K12" i="56"/>
  <c r="K34" i="56"/>
  <c r="K4" i="56"/>
  <c r="J14" i="56"/>
  <c r="L154" i="56"/>
  <c r="L155" i="56" s="1"/>
  <c r="H288" i="71"/>
  <c r="M152" i="56"/>
  <c r="I282" i="71"/>
  <c r="I30" i="71"/>
  <c r="E22" i="17"/>
  <c r="I283" i="71"/>
  <c r="H268" i="71"/>
  <c r="I267" i="71"/>
  <c r="I262" i="71"/>
  <c r="I10" i="71"/>
  <c r="J283" i="71"/>
  <c r="J267" i="71"/>
  <c r="G59" i="71"/>
  <c r="I264" i="71"/>
  <c r="I284" i="71"/>
  <c r="H44" i="71"/>
  <c r="I286" i="71"/>
  <c r="J106" i="71"/>
  <c r="K104" i="71"/>
  <c r="H41" i="55"/>
  <c r="H42" i="55"/>
  <c r="H40" i="55"/>
  <c r="H44" i="55"/>
  <c r="H43" i="55"/>
  <c r="F18" i="58"/>
  <c r="I84" i="55"/>
  <c r="F6" i="17"/>
  <c r="F22" i="17" s="1"/>
  <c r="G4" i="58"/>
  <c r="G18" i="58" s="1"/>
  <c r="L191" i="70"/>
  <c r="M188" i="70"/>
  <c r="M190" i="70" s="1"/>
  <c r="M14" i="58"/>
  <c r="N27" i="58"/>
  <c r="N10" i="58"/>
  <c r="N12" i="58"/>
  <c r="J7" i="17"/>
  <c r="K5" i="58"/>
  <c r="L58" i="56"/>
  <c r="I85" i="55"/>
  <c r="G45" i="55"/>
  <c r="G6" i="58" s="1"/>
  <c r="K80" i="55"/>
  <c r="K82" i="55" s="1"/>
  <c r="I83" i="55"/>
  <c r="E13" i="17"/>
  <c r="P16" i="58"/>
  <c r="F11" i="58"/>
  <c r="K78" i="53"/>
  <c r="O2" i="58"/>
  <c r="O22" i="58" s="1"/>
  <c r="N13" i="58"/>
  <c r="L71" i="53"/>
  <c r="I107" i="24"/>
  <c r="I116" i="24"/>
  <c r="I108" i="24"/>
  <c r="I114" i="24"/>
  <c r="I109" i="24"/>
  <c r="I106" i="24"/>
  <c r="I110" i="24"/>
  <c r="I113" i="24"/>
  <c r="I112" i="24"/>
  <c r="H189" i="24"/>
  <c r="H32" i="24" s="1"/>
  <c r="H39" i="24" s="1"/>
  <c r="H153" i="24"/>
  <c r="H6" i="24" s="1"/>
  <c r="H13" i="24" s="1"/>
  <c r="I105" i="24"/>
  <c r="L54" i="24"/>
  <c r="K102" i="24"/>
  <c r="K104" i="24" s="1"/>
  <c r="M5" i="17"/>
  <c r="J137" i="24"/>
  <c r="J173" i="24" s="1"/>
  <c r="I111" i="24"/>
  <c r="N4" i="17"/>
  <c r="N5" i="17" s="1"/>
  <c r="N9" i="17"/>
  <c r="O2" i="17"/>
  <c r="M2" i="24"/>
  <c r="L28" i="24"/>
  <c r="I115" i="24"/>
  <c r="G58" i="24"/>
  <c r="I117" i="24"/>
  <c r="I84" i="70" l="1"/>
  <c r="I85" i="70" s="1"/>
  <c r="J8" i="58" s="1"/>
  <c r="J70" i="70"/>
  <c r="J50" i="70"/>
  <c r="J84" i="70" s="1"/>
  <c r="J85" i="70" s="1"/>
  <c r="K44" i="70"/>
  <c r="K64" i="70"/>
  <c r="K68" i="70"/>
  <c r="K48" i="70"/>
  <c r="K65" i="70"/>
  <c r="K45" i="70"/>
  <c r="K49" i="70"/>
  <c r="K69" i="70"/>
  <c r="K47" i="70"/>
  <c r="K67" i="70"/>
  <c r="K66" i="70"/>
  <c r="K46" i="70"/>
  <c r="K239" i="71"/>
  <c r="K238" i="71"/>
  <c r="K240" i="71"/>
  <c r="K242" i="71"/>
  <c r="K241" i="71"/>
  <c r="K237" i="71"/>
  <c r="J62" i="56"/>
  <c r="K7" i="58" s="1"/>
  <c r="K29" i="71"/>
  <c r="K5" i="71"/>
  <c r="K263" i="71" s="1"/>
  <c r="K24" i="71"/>
  <c r="K6" i="71"/>
  <c r="K25" i="71"/>
  <c r="K283" i="71" s="1"/>
  <c r="K7" i="71"/>
  <c r="K26" i="71"/>
  <c r="K27" i="71"/>
  <c r="K285" i="71" s="1"/>
  <c r="K8" i="71"/>
  <c r="K266" i="71" s="1"/>
  <c r="K9" i="71"/>
  <c r="K267" i="71" s="1"/>
  <c r="K28" i="71"/>
  <c r="K286" i="71" s="1"/>
  <c r="K4" i="71"/>
  <c r="K60" i="56"/>
  <c r="K14" i="56"/>
  <c r="K61" i="56"/>
  <c r="K42" i="56"/>
  <c r="N2" i="71"/>
  <c r="L236" i="71"/>
  <c r="H59" i="71"/>
  <c r="H60" i="71" s="1"/>
  <c r="L36" i="56"/>
  <c r="L38" i="56"/>
  <c r="L12" i="56"/>
  <c r="L10" i="56"/>
  <c r="L13" i="56"/>
  <c r="L39" i="56"/>
  <c r="L35" i="56"/>
  <c r="L40" i="56"/>
  <c r="L9" i="56"/>
  <c r="L4" i="56"/>
  <c r="L33" i="56"/>
  <c r="L7" i="56"/>
  <c r="L41" i="56"/>
  <c r="L6" i="56"/>
  <c r="L5" i="56"/>
  <c r="L32" i="56"/>
  <c r="L34" i="56"/>
  <c r="L11" i="56"/>
  <c r="L37" i="56"/>
  <c r="L8" i="56"/>
  <c r="M154" i="56"/>
  <c r="M155" i="56" s="1"/>
  <c r="N152" i="56"/>
  <c r="N154" i="56" s="1"/>
  <c r="J282" i="71"/>
  <c r="J30" i="71"/>
  <c r="J262" i="71"/>
  <c r="J10" i="71"/>
  <c r="H45" i="71"/>
  <c r="J263" i="71"/>
  <c r="K265" i="71"/>
  <c r="J285" i="71"/>
  <c r="I44" i="71"/>
  <c r="I45" i="71" s="1"/>
  <c r="J9" i="58" s="1"/>
  <c r="I268" i="71"/>
  <c r="I288" i="71"/>
  <c r="G60" i="71"/>
  <c r="J266" i="71"/>
  <c r="K106" i="71"/>
  <c r="L104" i="71"/>
  <c r="J84" i="55"/>
  <c r="I41" i="55"/>
  <c r="I44" i="55"/>
  <c r="I42" i="55"/>
  <c r="I40" i="55"/>
  <c r="I43" i="55"/>
  <c r="E19" i="17"/>
  <c r="E20" i="17" s="1"/>
  <c r="E21" i="17" s="1"/>
  <c r="F10" i="17"/>
  <c r="F11" i="17" s="1"/>
  <c r="F13" i="17" s="1"/>
  <c r="F19" i="17" s="1"/>
  <c r="F15" i="58"/>
  <c r="M191" i="70"/>
  <c r="N188" i="70"/>
  <c r="N190" i="70" s="1"/>
  <c r="N14" i="58"/>
  <c r="O12" i="58"/>
  <c r="O27" i="58"/>
  <c r="O10" i="58"/>
  <c r="K7" i="17"/>
  <c r="L5" i="58"/>
  <c r="M58" i="56"/>
  <c r="J85" i="55"/>
  <c r="J83" i="55"/>
  <c r="L80" i="55"/>
  <c r="L82" i="55" s="1"/>
  <c r="H45" i="55"/>
  <c r="H6" i="58" s="1"/>
  <c r="G11" i="58"/>
  <c r="G15" i="58" s="1"/>
  <c r="G17" i="58" s="1"/>
  <c r="Q16" i="58"/>
  <c r="L78" i="53"/>
  <c r="P2" i="58"/>
  <c r="P22" i="58" s="1"/>
  <c r="O13" i="58"/>
  <c r="M71" i="53"/>
  <c r="J114" i="24"/>
  <c r="J108" i="24"/>
  <c r="J116" i="24"/>
  <c r="J112" i="24"/>
  <c r="N2" i="24"/>
  <c r="J117" i="24"/>
  <c r="J109" i="24"/>
  <c r="J115" i="24"/>
  <c r="J107" i="24"/>
  <c r="J110" i="24"/>
  <c r="K137" i="24"/>
  <c r="K173" i="24" s="1"/>
  <c r="J106" i="24"/>
  <c r="M28" i="24"/>
  <c r="J111" i="24"/>
  <c r="L102" i="24"/>
  <c r="L104" i="24" s="1"/>
  <c r="M54" i="24"/>
  <c r="J113" i="24"/>
  <c r="H58" i="24"/>
  <c r="O4" i="17"/>
  <c r="O5" i="17" s="1"/>
  <c r="P2" i="17"/>
  <c r="O9" i="17"/>
  <c r="I153" i="24"/>
  <c r="I6" i="24" s="1"/>
  <c r="I13" i="24" s="1"/>
  <c r="J105" i="24"/>
  <c r="I189" i="24"/>
  <c r="I32" i="24" s="1"/>
  <c r="I39" i="24" s="1"/>
  <c r="G65" i="24"/>
  <c r="M39" i="56" l="1"/>
  <c r="N155" i="56"/>
  <c r="N40" i="56" s="1"/>
  <c r="M13" i="56"/>
  <c r="M33" i="56"/>
  <c r="M12" i="56"/>
  <c r="M36" i="56"/>
  <c r="M38" i="56"/>
  <c r="M4" i="56"/>
  <c r="M40" i="56"/>
  <c r="M5" i="56"/>
  <c r="M8" i="56"/>
  <c r="M35" i="56"/>
  <c r="M7" i="56"/>
  <c r="M11" i="56"/>
  <c r="M6" i="56"/>
  <c r="M9" i="56"/>
  <c r="K62" i="56"/>
  <c r="L7" i="58" s="1"/>
  <c r="K70" i="70"/>
  <c r="K50" i="70"/>
  <c r="L44" i="70"/>
  <c r="L64" i="70"/>
  <c r="L48" i="70"/>
  <c r="L68" i="70"/>
  <c r="L49" i="70"/>
  <c r="L69" i="70"/>
  <c r="L67" i="70"/>
  <c r="L47" i="70"/>
  <c r="L45" i="70"/>
  <c r="L65" i="70"/>
  <c r="L66" i="70"/>
  <c r="L46" i="70"/>
  <c r="M41" i="56"/>
  <c r="M34" i="56"/>
  <c r="M32" i="56"/>
  <c r="L239" i="71"/>
  <c r="L241" i="71"/>
  <c r="L242" i="71"/>
  <c r="L237" i="71"/>
  <c r="L238" i="71"/>
  <c r="L240" i="71"/>
  <c r="L61" i="56"/>
  <c r="L4" i="71"/>
  <c r="L29" i="71"/>
  <c r="L287" i="71" s="1"/>
  <c r="L25" i="71"/>
  <c r="L283" i="71" s="1"/>
  <c r="L8" i="71"/>
  <c r="L5" i="71"/>
  <c r="L263" i="71" s="1"/>
  <c r="L24" i="71"/>
  <c r="L6" i="71"/>
  <c r="L264" i="71" s="1"/>
  <c r="L7" i="71"/>
  <c r="L265" i="71" s="1"/>
  <c r="L26" i="71"/>
  <c r="L284" i="71" s="1"/>
  <c r="L27" i="71"/>
  <c r="L28" i="71"/>
  <c r="L286" i="71" s="1"/>
  <c r="L9" i="71"/>
  <c r="L267" i="71" s="1"/>
  <c r="L42" i="56"/>
  <c r="L14" i="56"/>
  <c r="L60" i="56"/>
  <c r="O2" i="71"/>
  <c r="M236" i="71"/>
  <c r="M37" i="56"/>
  <c r="M10" i="56"/>
  <c r="K84" i="55"/>
  <c r="K43" i="55" s="1"/>
  <c r="O152" i="56"/>
  <c r="K284" i="71"/>
  <c r="I59" i="71"/>
  <c r="K282" i="71"/>
  <c r="K30" i="71"/>
  <c r="I9" i="58"/>
  <c r="K264" i="71"/>
  <c r="J268" i="71"/>
  <c r="K287" i="71"/>
  <c r="J44" i="71"/>
  <c r="J45" i="71" s="1"/>
  <c r="K9" i="58" s="1"/>
  <c r="J288" i="71"/>
  <c r="K262" i="71"/>
  <c r="K10" i="71"/>
  <c r="L106" i="71"/>
  <c r="M104" i="71"/>
  <c r="J42" i="55"/>
  <c r="J41" i="55"/>
  <c r="J40" i="55"/>
  <c r="J44" i="55"/>
  <c r="J43" i="55"/>
  <c r="F20" i="17"/>
  <c r="F21" i="17" s="1"/>
  <c r="O14" i="58"/>
  <c r="F17" i="58"/>
  <c r="N191" i="70"/>
  <c r="O188" i="70"/>
  <c r="O190" i="70" s="1"/>
  <c r="N33" i="56"/>
  <c r="N35" i="56"/>
  <c r="N37" i="56"/>
  <c r="N39" i="56"/>
  <c r="N41" i="56"/>
  <c r="N32" i="56"/>
  <c r="N34" i="56"/>
  <c r="N36" i="56"/>
  <c r="N38" i="56"/>
  <c r="G6" i="17"/>
  <c r="G10" i="17" s="1"/>
  <c r="G11" i="17" s="1"/>
  <c r="H4" i="58"/>
  <c r="K8" i="58"/>
  <c r="P12" i="58"/>
  <c r="P27" i="58"/>
  <c r="P10" i="58"/>
  <c r="L7" i="17"/>
  <c r="M5" i="58"/>
  <c r="N9" i="56"/>
  <c r="N10" i="56"/>
  <c r="N13" i="56"/>
  <c r="N12" i="56"/>
  <c r="N11" i="56"/>
  <c r="N6" i="56"/>
  <c r="N8" i="56"/>
  <c r="N58" i="56"/>
  <c r="K83" i="55"/>
  <c r="K85" i="55"/>
  <c r="M80" i="55"/>
  <c r="M82" i="55" s="1"/>
  <c r="I45" i="55"/>
  <c r="I6" i="58" s="1"/>
  <c r="R16" i="58"/>
  <c r="M78" i="53"/>
  <c r="Q2" i="58"/>
  <c r="Q22" i="58" s="1"/>
  <c r="P13" i="58"/>
  <c r="N71" i="53"/>
  <c r="K108" i="24"/>
  <c r="K109" i="24"/>
  <c r="K110" i="24"/>
  <c r="I58" i="24"/>
  <c r="O2" i="24"/>
  <c r="K112" i="24"/>
  <c r="K111" i="24"/>
  <c r="K106" i="24"/>
  <c r="K117" i="24"/>
  <c r="Q2" i="17"/>
  <c r="P4" i="17"/>
  <c r="P5" i="17" s="1"/>
  <c r="P9" i="17"/>
  <c r="H65" i="24"/>
  <c r="L137" i="24"/>
  <c r="L173" i="24" s="1"/>
  <c r="J189" i="24"/>
  <c r="J32" i="24" s="1"/>
  <c r="J39" i="24" s="1"/>
  <c r="J153" i="24"/>
  <c r="J6" i="24" s="1"/>
  <c r="J13" i="24" s="1"/>
  <c r="K105" i="24"/>
  <c r="N28" i="24"/>
  <c r="K107" i="24"/>
  <c r="K116" i="24"/>
  <c r="M102" i="24"/>
  <c r="M104" i="24" s="1"/>
  <c r="N54" i="24"/>
  <c r="K115" i="24"/>
  <c r="K113" i="24"/>
  <c r="K114" i="24"/>
  <c r="N4" i="56" l="1"/>
  <c r="N60" i="56" s="1"/>
  <c r="N5" i="56"/>
  <c r="K84" i="70"/>
  <c r="K85" i="70" s="1"/>
  <c r="L8" i="58" s="1"/>
  <c r="N7" i="56"/>
  <c r="M42" i="56"/>
  <c r="L62" i="56"/>
  <c r="M7" i="58" s="1"/>
  <c r="M14" i="56"/>
  <c r="L70" i="70"/>
  <c r="L50" i="70"/>
  <c r="M67" i="70"/>
  <c r="M47" i="70"/>
  <c r="M69" i="70"/>
  <c r="M49" i="70"/>
  <c r="M48" i="70"/>
  <c r="M68" i="70"/>
  <c r="M44" i="70"/>
  <c r="M64" i="70"/>
  <c r="M66" i="70"/>
  <c r="M46" i="70"/>
  <c r="M65" i="70"/>
  <c r="M45" i="70"/>
  <c r="K44" i="55"/>
  <c r="K42" i="55"/>
  <c r="K41" i="55"/>
  <c r="M60" i="56"/>
  <c r="M241" i="71"/>
  <c r="M238" i="71"/>
  <c r="M239" i="71"/>
  <c r="M240" i="71"/>
  <c r="M242" i="71"/>
  <c r="M237" i="71"/>
  <c r="M61" i="56"/>
  <c r="M28" i="71"/>
  <c r="M286" i="71" s="1"/>
  <c r="M6" i="71"/>
  <c r="M264" i="71" s="1"/>
  <c r="M4" i="71"/>
  <c r="M29" i="71"/>
  <c r="M287" i="71" s="1"/>
  <c r="M5" i="71"/>
  <c r="M263" i="71" s="1"/>
  <c r="M24" i="71"/>
  <c r="M25" i="71"/>
  <c r="M283" i="71" s="1"/>
  <c r="M26" i="71"/>
  <c r="M284" i="71" s="1"/>
  <c r="M7" i="71"/>
  <c r="M265" i="71" s="1"/>
  <c r="M8" i="71"/>
  <c r="M266" i="71" s="1"/>
  <c r="M9" i="71"/>
  <c r="M267" i="71" s="1"/>
  <c r="M27" i="71"/>
  <c r="M285" i="71" s="1"/>
  <c r="P2" i="71"/>
  <c r="N236" i="71"/>
  <c r="O154" i="56"/>
  <c r="O155" i="56" s="1"/>
  <c r="K40" i="55"/>
  <c r="L84" i="55"/>
  <c r="L41" i="55" s="1"/>
  <c r="P152" i="56"/>
  <c r="P154" i="56" s="1"/>
  <c r="J59" i="71"/>
  <c r="J60" i="71" s="1"/>
  <c r="K268" i="71"/>
  <c r="L285" i="71"/>
  <c r="K44" i="71"/>
  <c r="K45" i="71" s="1"/>
  <c r="L9" i="58" s="1"/>
  <c r="K288" i="71"/>
  <c r="L282" i="71"/>
  <c r="L30" i="71"/>
  <c r="L266" i="71"/>
  <c r="I60" i="71"/>
  <c r="L262" i="71"/>
  <c r="L10" i="71"/>
  <c r="M106" i="71"/>
  <c r="N104" i="71"/>
  <c r="P14" i="58"/>
  <c r="H18" i="58"/>
  <c r="G22" i="17"/>
  <c r="H11" i="58"/>
  <c r="P188" i="70"/>
  <c r="P190" i="70" s="1"/>
  <c r="O191" i="70"/>
  <c r="H6" i="17"/>
  <c r="H10" i="17" s="1"/>
  <c r="H11" i="17" s="1"/>
  <c r="I4" i="58"/>
  <c r="I18" i="58" s="1"/>
  <c r="N42" i="56"/>
  <c r="Q10" i="58"/>
  <c r="Q27" i="58"/>
  <c r="Q12" i="58"/>
  <c r="N61" i="56"/>
  <c r="M7" i="17"/>
  <c r="N5" i="58"/>
  <c r="N14" i="56"/>
  <c r="O58" i="56"/>
  <c r="L85" i="55"/>
  <c r="J45" i="55"/>
  <c r="J6" i="58" s="1"/>
  <c r="N80" i="55"/>
  <c r="N82" i="55" s="1"/>
  <c r="L83" i="55"/>
  <c r="G13" i="17"/>
  <c r="S16" i="58"/>
  <c r="N78" i="53"/>
  <c r="Q13" i="58"/>
  <c r="R2" i="58"/>
  <c r="R22" i="58" s="1"/>
  <c r="O71" i="53"/>
  <c r="L109" i="24"/>
  <c r="L116" i="24"/>
  <c r="L114" i="24"/>
  <c r="L113" i="24"/>
  <c r="J58" i="24"/>
  <c r="Q9" i="17"/>
  <c r="Q4" i="17"/>
  <c r="Q5" i="17" s="1"/>
  <c r="R2" i="17"/>
  <c r="L107" i="24"/>
  <c r="K153" i="24"/>
  <c r="K6" i="24" s="1"/>
  <c r="K13" i="24" s="1"/>
  <c r="L105" i="24"/>
  <c r="K189" i="24"/>
  <c r="K32" i="24" s="1"/>
  <c r="K39" i="24" s="1"/>
  <c r="L117" i="24"/>
  <c r="L108" i="24"/>
  <c r="N102" i="24"/>
  <c r="N104" i="24" s="1"/>
  <c r="O54" i="24"/>
  <c r="M137" i="24"/>
  <c r="M173" i="24" s="1"/>
  <c r="O28" i="24"/>
  <c r="I65" i="24"/>
  <c r="P2" i="24"/>
  <c r="L106" i="24"/>
  <c r="L112" i="24"/>
  <c r="L110" i="24"/>
  <c r="L115" i="24"/>
  <c r="L111" i="24"/>
  <c r="L84" i="70" l="1"/>
  <c r="L85" i="70" s="1"/>
  <c r="M8" i="58" s="1"/>
  <c r="M84" i="55"/>
  <c r="L42" i="55"/>
  <c r="M62" i="56"/>
  <c r="N7" i="58" s="1"/>
  <c r="M50" i="70"/>
  <c r="M70" i="70"/>
  <c r="N44" i="70"/>
  <c r="N64" i="70"/>
  <c r="N49" i="70"/>
  <c r="N69" i="70"/>
  <c r="N67" i="70"/>
  <c r="N47" i="70"/>
  <c r="N66" i="70"/>
  <c r="N46" i="70"/>
  <c r="N48" i="70"/>
  <c r="N68" i="70"/>
  <c r="N65" i="70"/>
  <c r="N45" i="70"/>
  <c r="L40" i="55"/>
  <c r="L44" i="55"/>
  <c r="L43" i="55"/>
  <c r="N238" i="71"/>
  <c r="N240" i="71"/>
  <c r="N241" i="71"/>
  <c r="N242" i="71"/>
  <c r="N239" i="71"/>
  <c r="N237" i="71"/>
  <c r="N9" i="71"/>
  <c r="N267" i="71" s="1"/>
  <c r="N28" i="71"/>
  <c r="N286" i="71" s="1"/>
  <c r="N4" i="71"/>
  <c r="N29" i="71"/>
  <c r="N287" i="71" s="1"/>
  <c r="N24" i="71"/>
  <c r="N7" i="71"/>
  <c r="N265" i="71" s="1"/>
  <c r="N5" i="71"/>
  <c r="N263" i="71" s="1"/>
  <c r="N6" i="71"/>
  <c r="N264" i="71" s="1"/>
  <c r="N25" i="71"/>
  <c r="N283" i="71" s="1"/>
  <c r="N26" i="71"/>
  <c r="N284" i="71" s="1"/>
  <c r="N8" i="71"/>
  <c r="N266" i="71" s="1"/>
  <c r="N27" i="71"/>
  <c r="N285" i="71" s="1"/>
  <c r="Q2" i="71"/>
  <c r="O236" i="71"/>
  <c r="O33" i="56"/>
  <c r="O6" i="56"/>
  <c r="O35" i="56"/>
  <c r="O7" i="56"/>
  <c r="O39" i="56"/>
  <c r="O8" i="56"/>
  <c r="O34" i="56"/>
  <c r="O13" i="56"/>
  <c r="O5" i="56"/>
  <c r="O38" i="56"/>
  <c r="O37" i="56"/>
  <c r="O40" i="56"/>
  <c r="O41" i="56"/>
  <c r="O10" i="56"/>
  <c r="O9" i="56"/>
  <c r="O32" i="56"/>
  <c r="O36" i="56"/>
  <c r="O12" i="56"/>
  <c r="O11" i="56"/>
  <c r="O4" i="56"/>
  <c r="P155" i="56"/>
  <c r="P13" i="56" s="1"/>
  <c r="Q152" i="56"/>
  <c r="Q154" i="56" s="1"/>
  <c r="L268" i="71"/>
  <c r="K59" i="71"/>
  <c r="K60" i="71" s="1"/>
  <c r="L44" i="71"/>
  <c r="L45" i="71" s="1"/>
  <c r="L288" i="71"/>
  <c r="M282" i="71"/>
  <c r="M288" i="71" s="1"/>
  <c r="M30" i="71"/>
  <c r="M262" i="71"/>
  <c r="M268" i="71" s="1"/>
  <c r="M10" i="71"/>
  <c r="N106" i="71"/>
  <c r="O104" i="71"/>
  <c r="M40" i="55"/>
  <c r="M44" i="55"/>
  <c r="M43" i="55"/>
  <c r="M41" i="55"/>
  <c r="M42" i="55"/>
  <c r="G19" i="17"/>
  <c r="G20" i="17" s="1"/>
  <c r="G21" i="17" s="1"/>
  <c r="M84" i="70"/>
  <c r="M85" i="70" s="1"/>
  <c r="N8" i="58" s="1"/>
  <c r="Q14" i="58"/>
  <c r="H15" i="58"/>
  <c r="I11" i="58"/>
  <c r="I15" i="58" s="1"/>
  <c r="I17" i="58" s="1"/>
  <c r="H22" i="17"/>
  <c r="N62" i="56"/>
  <c r="O7" i="58" s="1"/>
  <c r="I6" i="17"/>
  <c r="I22" i="17" s="1"/>
  <c r="J4" i="58"/>
  <c r="J18" i="58" s="1"/>
  <c r="Q188" i="70"/>
  <c r="Q190" i="70" s="1"/>
  <c r="P191" i="70"/>
  <c r="R12" i="58"/>
  <c r="R27" i="58"/>
  <c r="R10" i="58"/>
  <c r="N7" i="17"/>
  <c r="O5" i="58"/>
  <c r="P58" i="56"/>
  <c r="M85" i="55"/>
  <c r="M83" i="55"/>
  <c r="K45" i="55"/>
  <c r="K6" i="58" s="1"/>
  <c r="N84" i="55"/>
  <c r="O80" i="55"/>
  <c r="O82" i="55" s="1"/>
  <c r="H13" i="17"/>
  <c r="H19" i="17" s="1"/>
  <c r="T16" i="58"/>
  <c r="O78" i="53"/>
  <c r="R13" i="58"/>
  <c r="S2" i="58"/>
  <c r="S22" i="58" s="1"/>
  <c r="P71" i="53"/>
  <c r="M109" i="24"/>
  <c r="M115" i="24"/>
  <c r="M113" i="24"/>
  <c r="M106" i="24"/>
  <c r="M108" i="24"/>
  <c r="M117" i="24"/>
  <c r="M112" i="24"/>
  <c r="K58" i="24"/>
  <c r="L153" i="24"/>
  <c r="L6" i="24" s="1"/>
  <c r="L13" i="24" s="1"/>
  <c r="M105" i="24"/>
  <c r="L189" i="24"/>
  <c r="L32" i="24" s="1"/>
  <c r="L39" i="24" s="1"/>
  <c r="M107" i="24"/>
  <c r="J65" i="24"/>
  <c r="Q2" i="24"/>
  <c r="P28" i="24"/>
  <c r="P54" i="24"/>
  <c r="O102" i="24"/>
  <c r="O104" i="24" s="1"/>
  <c r="N137" i="24"/>
  <c r="N173" i="24" s="1"/>
  <c r="R4" i="17"/>
  <c r="R5" i="17" s="1"/>
  <c r="S2" i="17"/>
  <c r="M114" i="24"/>
  <c r="M111" i="24"/>
  <c r="M110" i="24"/>
  <c r="M116" i="24"/>
  <c r="N50" i="70" l="1"/>
  <c r="N70" i="70"/>
  <c r="O46" i="70"/>
  <c r="O66" i="70"/>
  <c r="O69" i="70"/>
  <c r="O49" i="70"/>
  <c r="O48" i="70"/>
  <c r="O68" i="70"/>
  <c r="O67" i="70"/>
  <c r="O47" i="70"/>
  <c r="O64" i="70"/>
  <c r="O44" i="70"/>
  <c r="O45" i="70"/>
  <c r="O65" i="70"/>
  <c r="O61" i="56"/>
  <c r="O237" i="71"/>
  <c r="O239" i="71"/>
  <c r="O242" i="71"/>
  <c r="O238" i="71"/>
  <c r="O240" i="71"/>
  <c r="O241" i="71"/>
  <c r="O14" i="56"/>
  <c r="O27" i="71"/>
  <c r="O285" i="71" s="1"/>
  <c r="O9" i="71"/>
  <c r="O267" i="71" s="1"/>
  <c r="O5" i="71"/>
  <c r="O263" i="71" s="1"/>
  <c r="O28" i="71"/>
  <c r="O286" i="71" s="1"/>
  <c r="O4" i="71"/>
  <c r="O29" i="71"/>
  <c r="O24" i="71"/>
  <c r="O25" i="71"/>
  <c r="O283" i="71" s="1"/>
  <c r="O6" i="71"/>
  <c r="O264" i="71" s="1"/>
  <c r="O7" i="71"/>
  <c r="O265" i="71" s="1"/>
  <c r="O26" i="71"/>
  <c r="O284" i="71" s="1"/>
  <c r="O8" i="71"/>
  <c r="O266" i="71" s="1"/>
  <c r="C201" i="71"/>
  <c r="C213" i="71" s="1"/>
  <c r="O60" i="56"/>
  <c r="O42" i="56"/>
  <c r="R2" i="71"/>
  <c r="P236" i="71"/>
  <c r="C174" i="71"/>
  <c r="C178" i="71" s="1"/>
  <c r="P41" i="56"/>
  <c r="P37" i="56"/>
  <c r="P11" i="56"/>
  <c r="P39" i="56"/>
  <c r="P40" i="56"/>
  <c r="P9" i="56"/>
  <c r="P5" i="56"/>
  <c r="P4" i="56"/>
  <c r="P36" i="56"/>
  <c r="P35" i="56"/>
  <c r="P7" i="56"/>
  <c r="P38" i="56"/>
  <c r="P33" i="56"/>
  <c r="P6" i="56"/>
  <c r="P8" i="56"/>
  <c r="P34" i="56"/>
  <c r="P10" i="56"/>
  <c r="P32" i="56"/>
  <c r="P12" i="56"/>
  <c r="Q155" i="56"/>
  <c r="Q38" i="56" s="1"/>
  <c r="R152" i="56"/>
  <c r="R154" i="56" s="1"/>
  <c r="L59" i="71"/>
  <c r="L60" i="71" s="1"/>
  <c r="M44" i="71"/>
  <c r="M45" i="71" s="1"/>
  <c r="N9" i="58" s="1"/>
  <c r="O287" i="71"/>
  <c r="M59" i="71"/>
  <c r="M60" i="71" s="1"/>
  <c r="N262" i="71"/>
  <c r="N268" i="71" s="1"/>
  <c r="N10" i="71"/>
  <c r="N282" i="71"/>
  <c r="N288" i="71" s="1"/>
  <c r="N30" i="71"/>
  <c r="M9" i="58"/>
  <c r="O106" i="71"/>
  <c r="P104" i="71"/>
  <c r="N40" i="55"/>
  <c r="N44" i="55"/>
  <c r="N43" i="55"/>
  <c r="N41" i="55"/>
  <c r="N42" i="55"/>
  <c r="H20" i="17"/>
  <c r="H21" i="17" s="1"/>
  <c r="N84" i="70"/>
  <c r="N85" i="70" s="1"/>
  <c r="O8" i="58" s="1"/>
  <c r="H17" i="58"/>
  <c r="I10" i="17"/>
  <c r="I11" i="17" s="1"/>
  <c r="I13" i="17" s="1"/>
  <c r="I19" i="17" s="1"/>
  <c r="J11" i="58"/>
  <c r="R14" i="58"/>
  <c r="Q191" i="70"/>
  <c r="R188" i="70"/>
  <c r="R190" i="70" s="1"/>
  <c r="J6" i="17"/>
  <c r="J10" i="17" s="1"/>
  <c r="J11" i="17" s="1"/>
  <c r="K4" i="58"/>
  <c r="K18" i="58" s="1"/>
  <c r="S12" i="58"/>
  <c r="S27" i="58"/>
  <c r="S10" i="58"/>
  <c r="O7" i="17"/>
  <c r="P5" i="58"/>
  <c r="Q58" i="56"/>
  <c r="N85" i="55"/>
  <c r="O84" i="55"/>
  <c r="P80" i="55"/>
  <c r="P82" i="55" s="1"/>
  <c r="L45" i="55"/>
  <c r="L6" i="58" s="1"/>
  <c r="N83" i="55"/>
  <c r="F33" i="58"/>
  <c r="P78" i="53"/>
  <c r="T2" i="58"/>
  <c r="T22" i="58" s="1"/>
  <c r="Q71" i="53"/>
  <c r="N112" i="24"/>
  <c r="N107" i="24"/>
  <c r="N117" i="24"/>
  <c r="N114" i="24"/>
  <c r="N113" i="24"/>
  <c r="N106" i="24"/>
  <c r="N109" i="24"/>
  <c r="N116" i="24"/>
  <c r="N108" i="24"/>
  <c r="N110" i="24"/>
  <c r="N115" i="24"/>
  <c r="N111" i="24"/>
  <c r="L58" i="24"/>
  <c r="Q28" i="24"/>
  <c r="M189" i="24"/>
  <c r="M32" i="24" s="1"/>
  <c r="M39" i="24" s="1"/>
  <c r="N105" i="24"/>
  <c r="M153" i="24"/>
  <c r="M6" i="24" s="1"/>
  <c r="M13" i="24" s="1"/>
  <c r="O137" i="24"/>
  <c r="O173" i="24" s="1"/>
  <c r="K65" i="24"/>
  <c r="R2" i="24"/>
  <c r="E23" i="17"/>
  <c r="S4" i="17"/>
  <c r="Q54" i="24"/>
  <c r="P102" i="24"/>
  <c r="P104" i="24" s="1"/>
  <c r="O62" i="56" l="1"/>
  <c r="P7" i="58" s="1"/>
  <c r="O70" i="70"/>
  <c r="O50" i="70"/>
  <c r="O84" i="70" s="1"/>
  <c r="O85" i="70" s="1"/>
  <c r="P8" i="58" s="1"/>
  <c r="P47" i="70"/>
  <c r="P67" i="70"/>
  <c r="P65" i="70"/>
  <c r="P45" i="70"/>
  <c r="P49" i="70"/>
  <c r="P69" i="70"/>
  <c r="P68" i="70"/>
  <c r="P48" i="70"/>
  <c r="P66" i="70"/>
  <c r="P46" i="70"/>
  <c r="P64" i="70"/>
  <c r="P44" i="70"/>
  <c r="P237" i="71"/>
  <c r="P241" i="71"/>
  <c r="P238" i="71"/>
  <c r="P239" i="71"/>
  <c r="P240" i="71"/>
  <c r="P242" i="71"/>
  <c r="P8" i="71"/>
  <c r="P266" i="71" s="1"/>
  <c r="P27" i="71"/>
  <c r="P285" i="71" s="1"/>
  <c r="P9" i="71"/>
  <c r="P267" i="71" s="1"/>
  <c r="P29" i="71"/>
  <c r="P287" i="71" s="1"/>
  <c r="P28" i="71"/>
  <c r="P286" i="71" s="1"/>
  <c r="P4" i="71"/>
  <c r="P6" i="71"/>
  <c r="P264" i="71" s="1"/>
  <c r="P5" i="71"/>
  <c r="P263" i="71" s="1"/>
  <c r="P24" i="71"/>
  <c r="P25" i="71"/>
  <c r="P283" i="71" s="1"/>
  <c r="P26" i="71"/>
  <c r="P284" i="71" s="1"/>
  <c r="P7" i="71"/>
  <c r="P265" i="71" s="1"/>
  <c r="S2" i="71"/>
  <c r="Q236" i="71"/>
  <c r="P42" i="56"/>
  <c r="P61" i="56"/>
  <c r="P14" i="56"/>
  <c r="Q10" i="56"/>
  <c r="Q36" i="56"/>
  <c r="Q37" i="56"/>
  <c r="Q4" i="56"/>
  <c r="Q7" i="56"/>
  <c r="Q11" i="56"/>
  <c r="Q8" i="56"/>
  <c r="Q32" i="56"/>
  <c r="Q12" i="56"/>
  <c r="Q33" i="56"/>
  <c r="Q35" i="56"/>
  <c r="Q34" i="56"/>
  <c r="Q41" i="56"/>
  <c r="P60" i="56"/>
  <c r="R155" i="56"/>
  <c r="S152" i="56"/>
  <c r="S154" i="56" s="1"/>
  <c r="Q39" i="56"/>
  <c r="Q40" i="56"/>
  <c r="Q13" i="56"/>
  <c r="Q9" i="56"/>
  <c r="Q5" i="56"/>
  <c r="Q6" i="56"/>
  <c r="N59" i="71"/>
  <c r="N60" i="71" s="1"/>
  <c r="O282" i="71"/>
  <c r="O288" i="71" s="1"/>
  <c r="O30" i="71"/>
  <c r="O262" i="71"/>
  <c r="O268" i="71" s="1"/>
  <c r="O10" i="71"/>
  <c r="N44" i="71"/>
  <c r="N45" i="71" s="1"/>
  <c r="P106" i="71"/>
  <c r="Q104" i="71"/>
  <c r="O43" i="55"/>
  <c r="O42" i="55"/>
  <c r="O40" i="55"/>
  <c r="O41" i="55"/>
  <c r="O44" i="55"/>
  <c r="I20" i="17"/>
  <c r="I21" i="17" s="1"/>
  <c r="J15" i="58"/>
  <c r="J22" i="17"/>
  <c r="K11" i="58"/>
  <c r="K15" i="58" s="1"/>
  <c r="K17" i="58" s="1"/>
  <c r="K6" i="17"/>
  <c r="K10" i="17" s="1"/>
  <c r="K11" i="17" s="1"/>
  <c r="L4" i="58"/>
  <c r="L18" i="58" s="1"/>
  <c r="R191" i="70"/>
  <c r="S188" i="70"/>
  <c r="S190" i="70" s="1"/>
  <c r="T12" i="58"/>
  <c r="D12" i="58" s="1"/>
  <c r="T27" i="58"/>
  <c r="T10" i="58"/>
  <c r="P7" i="17"/>
  <c r="Q5" i="58"/>
  <c r="D183" i="56"/>
  <c r="D182" i="56"/>
  <c r="D181" i="56"/>
  <c r="D180" i="56"/>
  <c r="D179" i="56"/>
  <c r="D178" i="56"/>
  <c r="D177" i="56"/>
  <c r="D176" i="56"/>
  <c r="D184" i="56"/>
  <c r="R58" i="56"/>
  <c r="O85" i="55"/>
  <c r="P84" i="55"/>
  <c r="Q80" i="55"/>
  <c r="Q82" i="55" s="1"/>
  <c r="M45" i="55"/>
  <c r="M6" i="58" s="1"/>
  <c r="O83" i="55"/>
  <c r="J13" i="17"/>
  <c r="J19" i="17" s="1"/>
  <c r="G33" i="58"/>
  <c r="Q78" i="53"/>
  <c r="F19" i="58"/>
  <c r="R71" i="53"/>
  <c r="O108" i="24"/>
  <c r="O109" i="24"/>
  <c r="O116" i="24"/>
  <c r="O111" i="24"/>
  <c r="O117" i="24"/>
  <c r="O115" i="24"/>
  <c r="O112" i="24"/>
  <c r="O107" i="24"/>
  <c r="O110" i="24"/>
  <c r="O114" i="24"/>
  <c r="M58" i="24"/>
  <c r="L65" i="24"/>
  <c r="Q102" i="24"/>
  <c r="Q104" i="24" s="1"/>
  <c r="R54" i="24"/>
  <c r="S5" i="17"/>
  <c r="R28" i="24"/>
  <c r="N189" i="24"/>
  <c r="N32" i="24" s="1"/>
  <c r="N39" i="24" s="1"/>
  <c r="O105" i="24"/>
  <c r="N153" i="24"/>
  <c r="N6" i="24" s="1"/>
  <c r="N13" i="24" s="1"/>
  <c r="P137" i="24"/>
  <c r="P173" i="24" s="1"/>
  <c r="F23" i="17"/>
  <c r="E30" i="17"/>
  <c r="E25" i="17"/>
  <c r="E26" i="17" s="1"/>
  <c r="O106" i="24"/>
  <c r="O113" i="24"/>
  <c r="S2" i="24"/>
  <c r="P50" i="70" l="1"/>
  <c r="P84" i="70" s="1"/>
  <c r="P85" i="70" s="1"/>
  <c r="Q8" i="58" s="1"/>
  <c r="P70" i="70"/>
  <c r="Q69" i="70"/>
  <c r="Q49" i="70"/>
  <c r="Q47" i="70"/>
  <c r="Q67" i="70"/>
  <c r="Q46" i="70"/>
  <c r="Q66" i="70"/>
  <c r="Q45" i="70"/>
  <c r="Q65" i="70"/>
  <c r="Q68" i="70"/>
  <c r="Q48" i="70"/>
  <c r="Q64" i="70"/>
  <c r="Q44" i="70"/>
  <c r="Q240" i="71"/>
  <c r="Q242" i="71"/>
  <c r="Q237" i="71"/>
  <c r="Q239" i="71"/>
  <c r="Q241" i="71"/>
  <c r="Q238" i="71"/>
  <c r="Q26" i="71"/>
  <c r="Q284" i="71" s="1"/>
  <c r="Q8" i="71"/>
  <c r="Q266" i="71" s="1"/>
  <c r="Q27" i="71"/>
  <c r="Q285" i="71" s="1"/>
  <c r="Q9" i="71"/>
  <c r="Q267" i="71" s="1"/>
  <c r="Q28" i="71"/>
  <c r="Q286" i="71" s="1"/>
  <c r="Q4" i="71"/>
  <c r="Q29" i="71"/>
  <c r="Q287" i="71" s="1"/>
  <c r="Q24" i="71"/>
  <c r="Q5" i="71"/>
  <c r="Q263" i="71" s="1"/>
  <c r="Q6" i="71"/>
  <c r="Q264" i="71" s="1"/>
  <c r="Q7" i="71"/>
  <c r="Q265" i="71" s="1"/>
  <c r="Q25" i="71"/>
  <c r="Q283" i="71" s="1"/>
  <c r="E12" i="71"/>
  <c r="R236" i="71"/>
  <c r="P62" i="56"/>
  <c r="Q7" i="58" s="1"/>
  <c r="Q60" i="56"/>
  <c r="Q14" i="56"/>
  <c r="Q42" i="56"/>
  <c r="O59" i="71"/>
  <c r="O60" i="71" s="1"/>
  <c r="Q61" i="56"/>
  <c r="R36" i="56"/>
  <c r="R32" i="56"/>
  <c r="R7" i="56"/>
  <c r="R38" i="56"/>
  <c r="R40" i="56"/>
  <c r="R12" i="56"/>
  <c r="R4" i="56"/>
  <c r="R33" i="56"/>
  <c r="R13" i="56"/>
  <c r="R8" i="56"/>
  <c r="R35" i="56"/>
  <c r="R10" i="56"/>
  <c r="R37" i="56"/>
  <c r="R34" i="56"/>
  <c r="R9" i="56"/>
  <c r="R41" i="56"/>
  <c r="R11" i="56"/>
  <c r="R5" i="56"/>
  <c r="R39" i="56"/>
  <c r="R6" i="56"/>
  <c r="O44" i="71"/>
  <c r="O45" i="71" s="1"/>
  <c r="P9" i="58" s="1"/>
  <c r="S155" i="56"/>
  <c r="E157" i="56"/>
  <c r="E159" i="56" s="1"/>
  <c r="P282" i="71"/>
  <c r="P288" i="71" s="1"/>
  <c r="P30" i="71"/>
  <c r="O9" i="58"/>
  <c r="P262" i="71"/>
  <c r="P268" i="71" s="1"/>
  <c r="P10" i="71"/>
  <c r="Q106" i="71"/>
  <c r="R104" i="71"/>
  <c r="P43" i="55"/>
  <c r="P41" i="55"/>
  <c r="P40" i="55"/>
  <c r="P42" i="55"/>
  <c r="P44" i="55"/>
  <c r="J20" i="17"/>
  <c r="J21" i="17" s="1"/>
  <c r="D10" i="58"/>
  <c r="J17" i="58"/>
  <c r="L11" i="58"/>
  <c r="L15" i="58" s="1"/>
  <c r="L17" i="58" s="1"/>
  <c r="K22" i="17"/>
  <c r="L6" i="17"/>
  <c r="L22" i="17" s="1"/>
  <c r="M4" i="58"/>
  <c r="M18" i="58" s="1"/>
  <c r="S191" i="70"/>
  <c r="E193" i="70"/>
  <c r="E195" i="70" s="1"/>
  <c r="Q7" i="17"/>
  <c r="R5" i="58"/>
  <c r="D175" i="56"/>
  <c r="S58" i="56"/>
  <c r="N45" i="55"/>
  <c r="N6" i="58" s="1"/>
  <c r="Q84" i="55"/>
  <c r="R80" i="55"/>
  <c r="R82" i="55" s="1"/>
  <c r="P85" i="55"/>
  <c r="P83" i="55"/>
  <c r="K13" i="17"/>
  <c r="H33" i="58"/>
  <c r="R78" i="53"/>
  <c r="G19" i="58"/>
  <c r="F30" i="58"/>
  <c r="S71" i="53"/>
  <c r="P110" i="24"/>
  <c r="P113" i="24"/>
  <c r="P111" i="24"/>
  <c r="P106" i="24"/>
  <c r="P107" i="24"/>
  <c r="P114" i="24"/>
  <c r="P116" i="24"/>
  <c r="P112" i="24"/>
  <c r="R102" i="24"/>
  <c r="R104" i="24" s="1"/>
  <c r="S54" i="24"/>
  <c r="P108" i="24"/>
  <c r="S28" i="24"/>
  <c r="E15" i="24"/>
  <c r="P109" i="24"/>
  <c r="P115" i="24"/>
  <c r="N58" i="24"/>
  <c r="Q137" i="24"/>
  <c r="Q173" i="24" s="1"/>
  <c r="O189" i="24"/>
  <c r="O32" i="24" s="1"/>
  <c r="O39" i="24" s="1"/>
  <c r="O153" i="24"/>
  <c r="O6" i="24" s="1"/>
  <c r="O13" i="24" s="1"/>
  <c r="P105" i="24"/>
  <c r="M65" i="24"/>
  <c r="G23" i="17"/>
  <c r="F30" i="17"/>
  <c r="F25" i="17"/>
  <c r="P117" i="24"/>
  <c r="Q50" i="70" l="1"/>
  <c r="Q84" i="70" s="1"/>
  <c r="Q85" i="70" s="1"/>
  <c r="R8" i="58" s="1"/>
  <c r="Q70" i="70"/>
  <c r="R45" i="70"/>
  <c r="R65" i="70"/>
  <c r="R48" i="70"/>
  <c r="R68" i="70"/>
  <c r="R66" i="70"/>
  <c r="R46" i="70"/>
  <c r="R44" i="70"/>
  <c r="R64" i="70"/>
  <c r="R69" i="70"/>
  <c r="R49" i="70"/>
  <c r="R67" i="70"/>
  <c r="R47" i="70"/>
  <c r="R242" i="71"/>
  <c r="R238" i="71"/>
  <c r="R239" i="71"/>
  <c r="R241" i="71"/>
  <c r="R237" i="71"/>
  <c r="R240" i="71"/>
  <c r="Q62" i="56"/>
  <c r="R7" i="58" s="1"/>
  <c r="R7" i="71"/>
  <c r="R265" i="71" s="1"/>
  <c r="R26" i="71"/>
  <c r="R284" i="71" s="1"/>
  <c r="R28" i="71"/>
  <c r="R286" i="71" s="1"/>
  <c r="R8" i="71"/>
  <c r="R266" i="71" s="1"/>
  <c r="R27" i="71"/>
  <c r="R285" i="71" s="1"/>
  <c r="R9" i="71"/>
  <c r="R267" i="71" s="1"/>
  <c r="R4" i="71"/>
  <c r="R5" i="71"/>
  <c r="R263" i="71" s="1"/>
  <c r="R29" i="71"/>
  <c r="R287" i="71" s="1"/>
  <c r="R24" i="71"/>
  <c r="R25" i="71"/>
  <c r="R283" i="71" s="1"/>
  <c r="R6" i="71"/>
  <c r="R264" i="71" s="1"/>
  <c r="F12" i="71"/>
  <c r="D243" i="71"/>
  <c r="E160" i="56"/>
  <c r="F157" i="56"/>
  <c r="F159" i="56" s="1"/>
  <c r="R61" i="56"/>
  <c r="R14" i="56"/>
  <c r="S39" i="56"/>
  <c r="S12" i="56"/>
  <c r="S8" i="56"/>
  <c r="S36" i="56"/>
  <c r="S34" i="56"/>
  <c r="S7" i="56"/>
  <c r="S41" i="56"/>
  <c r="S13" i="56"/>
  <c r="S32" i="56"/>
  <c r="S38" i="56"/>
  <c r="S10" i="56"/>
  <c r="S40" i="56"/>
  <c r="S6" i="56"/>
  <c r="S33" i="56"/>
  <c r="S4" i="56"/>
  <c r="S37" i="56"/>
  <c r="S9" i="56"/>
  <c r="S5" i="56"/>
  <c r="S35" i="56"/>
  <c r="S11" i="56"/>
  <c r="R42" i="56"/>
  <c r="R60" i="56"/>
  <c r="Q262" i="71"/>
  <c r="Q268" i="71" s="1"/>
  <c r="Q10" i="71"/>
  <c r="P44" i="71"/>
  <c r="P45" i="71" s="1"/>
  <c r="Q9" i="58" s="1"/>
  <c r="Q282" i="71"/>
  <c r="Q288" i="71" s="1"/>
  <c r="Q30" i="71"/>
  <c r="P59" i="71"/>
  <c r="P60" i="71" s="1"/>
  <c r="R106" i="71"/>
  <c r="D107" i="71"/>
  <c r="Q43" i="55"/>
  <c r="Q44" i="55"/>
  <c r="Q42" i="55"/>
  <c r="Q41" i="55"/>
  <c r="Q40" i="55"/>
  <c r="Q83" i="55"/>
  <c r="L10" i="17"/>
  <c r="L11" i="17" s="1"/>
  <c r="L13" i="17" s="1"/>
  <c r="L19" i="17" s="1"/>
  <c r="K19" i="17"/>
  <c r="K20" i="17" s="1"/>
  <c r="K21" i="17" s="1"/>
  <c r="M11" i="58"/>
  <c r="M15" i="58" s="1"/>
  <c r="M17" i="58" s="1"/>
  <c r="E196" i="70"/>
  <c r="F193" i="70"/>
  <c r="F195" i="70" s="1"/>
  <c r="M6" i="17"/>
  <c r="M10" i="17" s="1"/>
  <c r="M11" i="17" s="1"/>
  <c r="N4" i="58"/>
  <c r="N18" i="58" s="1"/>
  <c r="F31" i="58"/>
  <c r="R7" i="17"/>
  <c r="S5" i="58"/>
  <c r="E64" i="56"/>
  <c r="Q85" i="55"/>
  <c r="O45" i="55"/>
  <c r="O6" i="58" s="1"/>
  <c r="R84" i="55"/>
  <c r="S80" i="55"/>
  <c r="S82" i="55" s="1"/>
  <c r="I33" i="58"/>
  <c r="S78" i="53"/>
  <c r="Q110" i="24"/>
  <c r="G30" i="58"/>
  <c r="G31" i="58" s="1"/>
  <c r="H19" i="58"/>
  <c r="E80" i="53"/>
  <c r="Q117" i="24"/>
  <c r="Q109" i="24"/>
  <c r="Q106" i="24"/>
  <c r="Q112" i="24"/>
  <c r="Q107" i="24"/>
  <c r="Q111" i="24"/>
  <c r="Q113" i="24"/>
  <c r="E41" i="24"/>
  <c r="Q116" i="24"/>
  <c r="Q114" i="24"/>
  <c r="O58" i="24"/>
  <c r="E67" i="24"/>
  <c r="S102" i="24"/>
  <c r="S104" i="24" s="1"/>
  <c r="P189" i="24"/>
  <c r="P32" i="24" s="1"/>
  <c r="P39" i="24" s="1"/>
  <c r="P153" i="24"/>
  <c r="P6" i="24" s="1"/>
  <c r="P13" i="24" s="1"/>
  <c r="Q105" i="24"/>
  <c r="N65" i="24"/>
  <c r="R137" i="24"/>
  <c r="R173" i="24" s="1"/>
  <c r="F26" i="17"/>
  <c r="F15" i="24"/>
  <c r="Q108" i="24"/>
  <c r="H23" i="17"/>
  <c r="G30" i="17"/>
  <c r="G25" i="17"/>
  <c r="G26" i="17" s="1"/>
  <c r="Q115" i="24"/>
  <c r="R50" i="70" l="1"/>
  <c r="R70" i="70"/>
  <c r="S47" i="70"/>
  <c r="S67" i="70"/>
  <c r="S44" i="70"/>
  <c r="S64" i="70"/>
  <c r="S68" i="70"/>
  <c r="S48" i="70"/>
  <c r="S46" i="70"/>
  <c r="S66" i="70"/>
  <c r="S65" i="70"/>
  <c r="S45" i="70"/>
  <c r="S49" i="70"/>
  <c r="S69" i="70"/>
  <c r="D244" i="71"/>
  <c r="D249" i="71"/>
  <c r="D248" i="71"/>
  <c r="D247" i="71"/>
  <c r="D246" i="71"/>
  <c r="D245" i="71"/>
  <c r="S25" i="71"/>
  <c r="S7" i="71"/>
  <c r="S9" i="71"/>
  <c r="S26" i="71"/>
  <c r="S8" i="71"/>
  <c r="S27" i="71"/>
  <c r="S28" i="71"/>
  <c r="S4" i="71"/>
  <c r="S29" i="71"/>
  <c r="S5" i="71"/>
  <c r="S24" i="71"/>
  <c r="S6" i="71"/>
  <c r="G12" i="71"/>
  <c r="E243" i="71"/>
  <c r="Q59" i="71"/>
  <c r="Q60" i="71" s="1"/>
  <c r="R62" i="56"/>
  <c r="S7" i="58" s="1"/>
  <c r="E20" i="56"/>
  <c r="E24" i="56"/>
  <c r="E52" i="56"/>
  <c r="E55" i="56"/>
  <c r="E21" i="56"/>
  <c r="E25" i="56"/>
  <c r="E26" i="56"/>
  <c r="E54" i="56"/>
  <c r="E27" i="56"/>
  <c r="E49" i="56"/>
  <c r="E53" i="56"/>
  <c r="E19" i="56"/>
  <c r="E47" i="56"/>
  <c r="E22" i="56"/>
  <c r="E48" i="56"/>
  <c r="E18" i="56"/>
  <c r="E46" i="56"/>
  <c r="E51" i="56"/>
  <c r="E50" i="56"/>
  <c r="E23" i="56"/>
  <c r="S60" i="56"/>
  <c r="S42" i="56"/>
  <c r="S14" i="56"/>
  <c r="S61" i="56"/>
  <c r="F160" i="56"/>
  <c r="G157" i="56"/>
  <c r="G159" i="56" s="1"/>
  <c r="R262" i="71"/>
  <c r="R268" i="71" s="1"/>
  <c r="R10" i="71"/>
  <c r="Q44" i="71"/>
  <c r="Q45" i="71" s="1"/>
  <c r="R9" i="58" s="1"/>
  <c r="R282" i="71"/>
  <c r="R288" i="71" s="1"/>
  <c r="R30" i="71"/>
  <c r="D109" i="71"/>
  <c r="E107" i="71"/>
  <c r="R44" i="55"/>
  <c r="R43" i="55"/>
  <c r="R40" i="55"/>
  <c r="R42" i="55"/>
  <c r="R41" i="55"/>
  <c r="L20" i="17"/>
  <c r="L21" i="17" s="1"/>
  <c r="R84" i="70"/>
  <c r="R85" i="70" s="1"/>
  <c r="S8" i="58" s="1"/>
  <c r="M22" i="17"/>
  <c r="N11" i="58"/>
  <c r="N15" i="58" s="1"/>
  <c r="N6" i="17"/>
  <c r="N10" i="17" s="1"/>
  <c r="N11" i="17" s="1"/>
  <c r="O4" i="58"/>
  <c r="O18" i="58" s="1"/>
  <c r="F196" i="70"/>
  <c r="G193" i="70"/>
  <c r="G195" i="70" s="1"/>
  <c r="S7" i="17"/>
  <c r="T5" i="58"/>
  <c r="D5" i="58" s="1"/>
  <c r="F64" i="56"/>
  <c r="R85" i="55"/>
  <c r="P45" i="55"/>
  <c r="P6" i="58" s="1"/>
  <c r="R83" i="55"/>
  <c r="S84" i="55"/>
  <c r="T80" i="55"/>
  <c r="T82" i="55" s="1"/>
  <c r="M13" i="17"/>
  <c r="M19" i="17" s="1"/>
  <c r="J33" i="58"/>
  <c r="E28" i="17"/>
  <c r="H30" i="58"/>
  <c r="I19" i="58"/>
  <c r="R117" i="24"/>
  <c r="F80" i="53"/>
  <c r="R115" i="24"/>
  <c r="R111" i="24"/>
  <c r="R107" i="24"/>
  <c r="R106" i="24"/>
  <c r="R110" i="24"/>
  <c r="R114" i="24"/>
  <c r="R108" i="24"/>
  <c r="P58" i="24"/>
  <c r="Q153" i="24"/>
  <c r="Q6" i="24" s="1"/>
  <c r="Q13" i="24" s="1"/>
  <c r="R105" i="24"/>
  <c r="Q189" i="24"/>
  <c r="Q32" i="24" s="1"/>
  <c r="Q39" i="24" s="1"/>
  <c r="F41" i="24"/>
  <c r="H30" i="17"/>
  <c r="H25" i="17"/>
  <c r="I23" i="17"/>
  <c r="O65" i="24"/>
  <c r="R113" i="24"/>
  <c r="S137" i="24"/>
  <c r="S173" i="24" s="1"/>
  <c r="R109" i="24"/>
  <c r="G15" i="24"/>
  <c r="F67" i="24"/>
  <c r="E119" i="24"/>
  <c r="E121" i="24" s="1"/>
  <c r="R116" i="24"/>
  <c r="R112" i="24"/>
  <c r="S50" i="70" l="1"/>
  <c r="S70" i="70"/>
  <c r="E75" i="70"/>
  <c r="E55" i="70"/>
  <c r="E56" i="70"/>
  <c r="E76" i="70"/>
  <c r="E78" i="70"/>
  <c r="E58" i="70"/>
  <c r="E77" i="70"/>
  <c r="E57" i="70"/>
  <c r="E79" i="70"/>
  <c r="E59" i="70"/>
  <c r="E74" i="70"/>
  <c r="E54" i="70"/>
  <c r="E244" i="71"/>
  <c r="E246" i="71"/>
  <c r="E248" i="71"/>
  <c r="E249" i="71"/>
  <c r="E247" i="71"/>
  <c r="E245" i="71"/>
  <c r="E15" i="71"/>
  <c r="E273" i="71" s="1"/>
  <c r="E37" i="71"/>
  <c r="E295" i="71" s="1"/>
  <c r="E16" i="71"/>
  <c r="E274" i="71" s="1"/>
  <c r="E17" i="71"/>
  <c r="E275" i="71" s="1"/>
  <c r="E14" i="71"/>
  <c r="E35" i="71"/>
  <c r="E293" i="71" s="1"/>
  <c r="E18" i="71"/>
  <c r="E36" i="71"/>
  <c r="E294" i="71" s="1"/>
  <c r="E19" i="71"/>
  <c r="E277" i="71" s="1"/>
  <c r="E38" i="71"/>
  <c r="E296" i="71" s="1"/>
  <c r="E39" i="71"/>
  <c r="E297" i="71" s="1"/>
  <c r="E34" i="71"/>
  <c r="H12" i="71"/>
  <c r="F243" i="71"/>
  <c r="R59" i="71"/>
  <c r="R60" i="71" s="1"/>
  <c r="E28" i="56"/>
  <c r="S62" i="56"/>
  <c r="T7" i="58" s="1"/>
  <c r="E67" i="56"/>
  <c r="R44" i="71"/>
  <c r="R45" i="71" s="1"/>
  <c r="S9" i="58" s="1"/>
  <c r="G160" i="56"/>
  <c r="H157" i="56"/>
  <c r="H159" i="56" s="1"/>
  <c r="F53" i="56"/>
  <c r="F55" i="56"/>
  <c r="F47" i="56"/>
  <c r="F25" i="56"/>
  <c r="F54" i="56"/>
  <c r="F26" i="56"/>
  <c r="F27" i="56"/>
  <c r="F51" i="56"/>
  <c r="F22" i="56"/>
  <c r="F24" i="56"/>
  <c r="F20" i="56"/>
  <c r="F18" i="56"/>
  <c r="F23" i="56"/>
  <c r="F46" i="56"/>
  <c r="F49" i="56"/>
  <c r="F21" i="56"/>
  <c r="F19" i="56"/>
  <c r="F48" i="56"/>
  <c r="F50" i="56"/>
  <c r="F52" i="56"/>
  <c r="E66" i="56"/>
  <c r="E56" i="56"/>
  <c r="S262" i="71"/>
  <c r="S10" i="71"/>
  <c r="S264" i="71"/>
  <c r="S284" i="71"/>
  <c r="S282" i="71"/>
  <c r="S30" i="71"/>
  <c r="S267" i="71"/>
  <c r="S286" i="71"/>
  <c r="S263" i="71"/>
  <c r="S265" i="71"/>
  <c r="S285" i="71"/>
  <c r="E276" i="71"/>
  <c r="S287" i="71"/>
  <c r="S283" i="71"/>
  <c r="S266" i="71"/>
  <c r="E109" i="71"/>
  <c r="F107" i="71"/>
  <c r="S41" i="55"/>
  <c r="S44" i="55"/>
  <c r="S42" i="55"/>
  <c r="S40" i="55"/>
  <c r="S43" i="55"/>
  <c r="N22" i="17"/>
  <c r="M20" i="17"/>
  <c r="M21" i="17" s="1"/>
  <c r="S84" i="70"/>
  <c r="S85" i="70" s="1"/>
  <c r="H31" i="58"/>
  <c r="N17" i="58"/>
  <c r="O11" i="58"/>
  <c r="O15" i="58" s="1"/>
  <c r="O17" i="58" s="1"/>
  <c r="S83" i="55"/>
  <c r="G196" i="70"/>
  <c r="H193" i="70"/>
  <c r="H195" i="70" s="1"/>
  <c r="O6" i="17"/>
  <c r="O22" i="17" s="1"/>
  <c r="P4" i="58"/>
  <c r="P18" i="58" s="1"/>
  <c r="G64" i="56"/>
  <c r="S85" i="55"/>
  <c r="Q45" i="55"/>
  <c r="Q6" i="58" s="1"/>
  <c r="T84" i="55"/>
  <c r="F87" i="55"/>
  <c r="F89" i="55" s="1"/>
  <c r="N13" i="17"/>
  <c r="N19" i="17" s="1"/>
  <c r="K33" i="58"/>
  <c r="F28" i="17"/>
  <c r="I30" i="58"/>
  <c r="I31" i="58" s="1"/>
  <c r="J19" i="58"/>
  <c r="G80" i="53"/>
  <c r="S112" i="24"/>
  <c r="S110" i="24"/>
  <c r="S116" i="24"/>
  <c r="S113" i="24"/>
  <c r="S111" i="24"/>
  <c r="H15" i="24"/>
  <c r="S107" i="24"/>
  <c r="S114" i="24"/>
  <c r="Q58" i="24"/>
  <c r="G41" i="24"/>
  <c r="E155" i="24"/>
  <c r="E191" i="24" s="1"/>
  <c r="S108" i="24"/>
  <c r="J23" i="17"/>
  <c r="I30" i="17"/>
  <c r="I25" i="17"/>
  <c r="I26" i="17" s="1"/>
  <c r="R189" i="24"/>
  <c r="R32" i="24" s="1"/>
  <c r="R39" i="24" s="1"/>
  <c r="S105" i="24"/>
  <c r="R153" i="24"/>
  <c r="R6" i="24" s="1"/>
  <c r="R13" i="24" s="1"/>
  <c r="S106" i="24"/>
  <c r="G67" i="24"/>
  <c r="F119" i="24"/>
  <c r="F121" i="24" s="1"/>
  <c r="S109" i="24"/>
  <c r="S115" i="24"/>
  <c r="H26" i="17"/>
  <c r="S117" i="24"/>
  <c r="P65" i="24"/>
  <c r="E60" i="70" l="1"/>
  <c r="E80" i="70"/>
  <c r="F75" i="70"/>
  <c r="F55" i="70"/>
  <c r="F77" i="70"/>
  <c r="F57" i="70"/>
  <c r="F79" i="70"/>
  <c r="F59" i="70"/>
  <c r="F78" i="70"/>
  <c r="F58" i="70"/>
  <c r="F76" i="70"/>
  <c r="F56" i="70"/>
  <c r="F74" i="70"/>
  <c r="F54" i="70"/>
  <c r="F246" i="71"/>
  <c r="F249" i="71"/>
  <c r="F244" i="71"/>
  <c r="F245" i="71"/>
  <c r="F247" i="71"/>
  <c r="F248" i="71"/>
  <c r="F39" i="71"/>
  <c r="F297" i="71" s="1"/>
  <c r="F34" i="71"/>
  <c r="F14" i="71"/>
  <c r="F15" i="71"/>
  <c r="F273" i="71" s="1"/>
  <c r="F16" i="71"/>
  <c r="F35" i="71"/>
  <c r="F17" i="71"/>
  <c r="F36" i="71"/>
  <c r="F294" i="71" s="1"/>
  <c r="F18" i="71"/>
  <c r="F37" i="71"/>
  <c r="F19" i="71"/>
  <c r="F277" i="71" s="1"/>
  <c r="F38" i="71"/>
  <c r="F296" i="71" s="1"/>
  <c r="I12" i="71"/>
  <c r="G243" i="71"/>
  <c r="G21" i="56"/>
  <c r="G51" i="56"/>
  <c r="G22" i="56"/>
  <c r="G20" i="56"/>
  <c r="G50" i="56"/>
  <c r="G26" i="56"/>
  <c r="G55" i="56"/>
  <c r="G18" i="56"/>
  <c r="G49" i="56"/>
  <c r="G46" i="56"/>
  <c r="G48" i="56"/>
  <c r="G19" i="56"/>
  <c r="G25" i="56"/>
  <c r="G27" i="56"/>
  <c r="G23" i="56"/>
  <c r="G24" i="56"/>
  <c r="G53" i="56"/>
  <c r="G52" i="56"/>
  <c r="G54" i="56"/>
  <c r="G47" i="56"/>
  <c r="H160" i="56"/>
  <c r="I157" i="56"/>
  <c r="I159" i="56" s="1"/>
  <c r="F66" i="56"/>
  <c r="F56" i="56"/>
  <c r="E68" i="56"/>
  <c r="F24" i="58" s="1"/>
  <c r="F28" i="56"/>
  <c r="F67" i="56"/>
  <c r="E292" i="71"/>
  <c r="E298" i="71" s="1"/>
  <c r="E40" i="71"/>
  <c r="E272" i="71"/>
  <c r="E278" i="71" s="1"/>
  <c r="E20" i="71"/>
  <c r="S44" i="71"/>
  <c r="S268" i="71"/>
  <c r="S288" i="71"/>
  <c r="F109" i="71"/>
  <c r="G107" i="71"/>
  <c r="T40" i="55"/>
  <c r="T42" i="55"/>
  <c r="T41" i="55"/>
  <c r="T43" i="55"/>
  <c r="T44" i="55"/>
  <c r="O10" i="17"/>
  <c r="O11" i="17" s="1"/>
  <c r="O13" i="17" s="1"/>
  <c r="O19" i="17" s="1"/>
  <c r="N20" i="17"/>
  <c r="N21" i="17" s="1"/>
  <c r="E89" i="70"/>
  <c r="E90" i="70" s="1"/>
  <c r="F25" i="58" s="1"/>
  <c r="P11" i="58"/>
  <c r="P15" i="58" s="1"/>
  <c r="P17" i="58" s="1"/>
  <c r="I193" i="70"/>
  <c r="I195" i="70" s="1"/>
  <c r="H196" i="70"/>
  <c r="T8" i="58"/>
  <c r="P6" i="17"/>
  <c r="P22" i="17" s="1"/>
  <c r="Q4" i="58"/>
  <c r="Q18" i="58" s="1"/>
  <c r="H64" i="56"/>
  <c r="T85" i="55"/>
  <c r="R45" i="55"/>
  <c r="R6" i="58" s="1"/>
  <c r="F91" i="55"/>
  <c r="G87" i="55"/>
  <c r="G89" i="55" s="1"/>
  <c r="T83" i="55"/>
  <c r="L33" i="58"/>
  <c r="G28" i="17"/>
  <c r="J30" i="58"/>
  <c r="K19" i="58"/>
  <c r="H80" i="53"/>
  <c r="E133" i="24"/>
  <c r="E132" i="24"/>
  <c r="E134" i="24"/>
  <c r="R58" i="24"/>
  <c r="S153" i="24"/>
  <c r="S6" i="24" s="1"/>
  <c r="S13" i="24" s="1"/>
  <c r="S189" i="24"/>
  <c r="S32" i="24" s="1"/>
  <c r="S39" i="24" s="1"/>
  <c r="E122" i="24"/>
  <c r="E125" i="24"/>
  <c r="I15" i="24"/>
  <c r="H41" i="24"/>
  <c r="E131" i="24"/>
  <c r="E130" i="24"/>
  <c r="E126" i="24"/>
  <c r="F155" i="24"/>
  <c r="F191" i="24" s="1"/>
  <c r="E123" i="24"/>
  <c r="E128" i="24"/>
  <c r="H67" i="24"/>
  <c r="G119" i="24"/>
  <c r="G121" i="24" s="1"/>
  <c r="E127" i="24"/>
  <c r="Q65" i="24"/>
  <c r="K23" i="17"/>
  <c r="J30" i="17"/>
  <c r="J25" i="17"/>
  <c r="J26" i="17" s="1"/>
  <c r="E124" i="24"/>
  <c r="E129" i="24"/>
  <c r="F60" i="70" l="1"/>
  <c r="F80" i="70"/>
  <c r="G58" i="70"/>
  <c r="G78" i="70"/>
  <c r="G77" i="70"/>
  <c r="G57" i="70"/>
  <c r="G75" i="70"/>
  <c r="G55" i="70"/>
  <c r="G74" i="70"/>
  <c r="G54" i="70"/>
  <c r="G79" i="70"/>
  <c r="G59" i="70"/>
  <c r="G56" i="70"/>
  <c r="G76" i="70"/>
  <c r="G244" i="71"/>
  <c r="G247" i="71"/>
  <c r="G249" i="71"/>
  <c r="G245" i="71"/>
  <c r="G246" i="71"/>
  <c r="G248" i="71"/>
  <c r="G38" i="71"/>
  <c r="G16" i="71"/>
  <c r="G274" i="71" s="1"/>
  <c r="G39" i="71"/>
  <c r="G34" i="71"/>
  <c r="G14" i="71"/>
  <c r="G35" i="71"/>
  <c r="G293" i="71" s="1"/>
  <c r="G15" i="71"/>
  <c r="G17" i="71"/>
  <c r="G275" i="71" s="1"/>
  <c r="G36" i="71"/>
  <c r="G18" i="71"/>
  <c r="G276" i="71" s="1"/>
  <c r="G37" i="71"/>
  <c r="G295" i="71" s="1"/>
  <c r="G19" i="71"/>
  <c r="F68" i="56"/>
  <c r="G24" i="58" s="1"/>
  <c r="J12" i="71"/>
  <c r="H243" i="71"/>
  <c r="J157" i="56"/>
  <c r="J159" i="56" s="1"/>
  <c r="G67" i="56"/>
  <c r="G66" i="56"/>
  <c r="G56" i="56"/>
  <c r="H26" i="56"/>
  <c r="H53" i="56"/>
  <c r="H21" i="56"/>
  <c r="H18" i="56"/>
  <c r="H55" i="56"/>
  <c r="I160" i="56"/>
  <c r="H49" i="56"/>
  <c r="H27" i="56"/>
  <c r="H54" i="56"/>
  <c r="H51" i="56"/>
  <c r="H22" i="56"/>
  <c r="H19" i="56"/>
  <c r="H23" i="56"/>
  <c r="H46" i="56"/>
  <c r="H52" i="56"/>
  <c r="H48" i="56"/>
  <c r="H20" i="56"/>
  <c r="H24" i="56"/>
  <c r="H50" i="56"/>
  <c r="H47" i="56"/>
  <c r="H25" i="56"/>
  <c r="G28" i="56"/>
  <c r="E49" i="71"/>
  <c r="E50" i="71" s="1"/>
  <c r="F26" i="58" s="1"/>
  <c r="E64" i="71"/>
  <c r="E65" i="71" s="1"/>
  <c r="F272" i="71"/>
  <c r="F20" i="71"/>
  <c r="S59" i="71"/>
  <c r="F275" i="71"/>
  <c r="F295" i="71"/>
  <c r="F293" i="71"/>
  <c r="F274" i="71"/>
  <c r="S45" i="71"/>
  <c r="F276" i="71"/>
  <c r="F292" i="71"/>
  <c r="F40" i="71"/>
  <c r="G109" i="71"/>
  <c r="H107" i="71"/>
  <c r="F51" i="55"/>
  <c r="F53" i="55"/>
  <c r="F49" i="55"/>
  <c r="F50" i="55"/>
  <c r="F52" i="55"/>
  <c r="Q11" i="58"/>
  <c r="Q15" i="58" s="1"/>
  <c r="Q17" i="58" s="1"/>
  <c r="O20" i="17"/>
  <c r="O21" i="17" s="1"/>
  <c r="J31" i="58"/>
  <c r="P10" i="17"/>
  <c r="P11" i="17" s="1"/>
  <c r="P13" i="17" s="1"/>
  <c r="P19" i="17" s="1"/>
  <c r="Q6" i="17"/>
  <c r="Q22" i="17" s="1"/>
  <c r="R4" i="58"/>
  <c r="R18" i="58" s="1"/>
  <c r="J193" i="70"/>
  <c r="J195" i="70" s="1"/>
  <c r="I196" i="70"/>
  <c r="I64" i="56"/>
  <c r="F90" i="55"/>
  <c r="S45" i="55"/>
  <c r="S6" i="58" s="1"/>
  <c r="F92" i="55"/>
  <c r="G91" i="55"/>
  <c r="H87" i="55"/>
  <c r="H89" i="55" s="1"/>
  <c r="M33" i="58"/>
  <c r="H28" i="17"/>
  <c r="L19" i="58"/>
  <c r="K30" i="58"/>
  <c r="K31" i="58" s="1"/>
  <c r="F133" i="24"/>
  <c r="I80" i="53"/>
  <c r="F134" i="24"/>
  <c r="F127" i="24"/>
  <c r="F123" i="24"/>
  <c r="F126" i="24"/>
  <c r="F124" i="24"/>
  <c r="F128" i="24"/>
  <c r="F130" i="24"/>
  <c r="F132" i="24"/>
  <c r="I41" i="24"/>
  <c r="F125" i="24"/>
  <c r="S58" i="24"/>
  <c r="E171" i="24"/>
  <c r="E19" i="24" s="1"/>
  <c r="E26" i="24" s="1"/>
  <c r="F122" i="24"/>
  <c r="E207" i="24"/>
  <c r="E45" i="24" s="1"/>
  <c r="E52" i="24" s="1"/>
  <c r="K30" i="17"/>
  <c r="K25" i="17"/>
  <c r="L23" i="17"/>
  <c r="G155" i="24"/>
  <c r="G191" i="24" s="1"/>
  <c r="J15" i="24"/>
  <c r="F129" i="24"/>
  <c r="H119" i="24"/>
  <c r="H121" i="24" s="1"/>
  <c r="I67" i="24"/>
  <c r="F131" i="24"/>
  <c r="R65" i="24"/>
  <c r="F89" i="70" l="1"/>
  <c r="F90" i="70" s="1"/>
  <c r="G60" i="70"/>
  <c r="G80" i="70"/>
  <c r="G89" i="70" s="1"/>
  <c r="G90" i="70" s="1"/>
  <c r="H25" i="58" s="1"/>
  <c r="H78" i="70"/>
  <c r="H58" i="70"/>
  <c r="H76" i="70"/>
  <c r="H56" i="70"/>
  <c r="H75" i="70"/>
  <c r="H55" i="70"/>
  <c r="H59" i="70"/>
  <c r="H79" i="70"/>
  <c r="H77" i="70"/>
  <c r="H57" i="70"/>
  <c r="H74" i="70"/>
  <c r="H54" i="70"/>
  <c r="H244" i="71"/>
  <c r="H245" i="71"/>
  <c r="H246" i="71"/>
  <c r="H248" i="71"/>
  <c r="H249" i="71"/>
  <c r="H247" i="71"/>
  <c r="H19" i="71"/>
  <c r="H277" i="71" s="1"/>
  <c r="H38" i="71"/>
  <c r="H296" i="71" s="1"/>
  <c r="H39" i="71"/>
  <c r="H297" i="71" s="1"/>
  <c r="H14" i="71"/>
  <c r="H34" i="71"/>
  <c r="H16" i="71"/>
  <c r="H17" i="71"/>
  <c r="H275" i="71" s="1"/>
  <c r="H35" i="71"/>
  <c r="H293" i="71" s="1"/>
  <c r="H15" i="71"/>
  <c r="H273" i="71" s="1"/>
  <c r="H36" i="71"/>
  <c r="H294" i="71" s="1"/>
  <c r="H18" i="71"/>
  <c r="H37" i="71"/>
  <c r="H295" i="71" s="1"/>
  <c r="K12" i="71"/>
  <c r="I243" i="71"/>
  <c r="G68" i="56"/>
  <c r="H24" i="58" s="1"/>
  <c r="I18" i="56"/>
  <c r="I48" i="56"/>
  <c r="I46" i="56"/>
  <c r="I52" i="56"/>
  <c r="I19" i="56"/>
  <c r="I25" i="56"/>
  <c r="I47" i="56"/>
  <c r="I21" i="56"/>
  <c r="I50" i="56"/>
  <c r="I54" i="56"/>
  <c r="I24" i="56"/>
  <c r="I26" i="56"/>
  <c r="I22" i="56"/>
  <c r="I49" i="56"/>
  <c r="I51" i="56"/>
  <c r="I55" i="56"/>
  <c r="I20" i="56"/>
  <c r="I27" i="56"/>
  <c r="I23" i="56"/>
  <c r="I53" i="56"/>
  <c r="J160" i="56"/>
  <c r="K157" i="56"/>
  <c r="K159" i="56" s="1"/>
  <c r="H66" i="56"/>
  <c r="H56" i="56"/>
  <c r="H67" i="56"/>
  <c r="H28" i="56"/>
  <c r="F49" i="71"/>
  <c r="G272" i="71"/>
  <c r="G20" i="71"/>
  <c r="F298" i="71"/>
  <c r="G294" i="71"/>
  <c r="T9" i="58"/>
  <c r="G277" i="71"/>
  <c r="G273" i="71"/>
  <c r="S60" i="71"/>
  <c r="G297" i="71"/>
  <c r="G296" i="71"/>
  <c r="F278" i="71"/>
  <c r="G292" i="71"/>
  <c r="G40" i="71"/>
  <c r="H109" i="71"/>
  <c r="I107" i="71"/>
  <c r="G49" i="55"/>
  <c r="G50" i="55"/>
  <c r="G53" i="55"/>
  <c r="G52" i="55"/>
  <c r="G51" i="55"/>
  <c r="P20" i="17"/>
  <c r="P21" i="17" s="1"/>
  <c r="Q10" i="17"/>
  <c r="Q11" i="17" s="1"/>
  <c r="R11" i="58"/>
  <c r="R15" i="58" s="1"/>
  <c r="R17" i="58" s="1"/>
  <c r="G25" i="58"/>
  <c r="R6" i="17"/>
  <c r="R22" i="17" s="1"/>
  <c r="S4" i="58"/>
  <c r="S18" i="58" s="1"/>
  <c r="J196" i="70"/>
  <c r="K193" i="70"/>
  <c r="K195" i="70" s="1"/>
  <c r="J64" i="56"/>
  <c r="G92" i="55"/>
  <c r="T45" i="55"/>
  <c r="T6" i="58" s="1"/>
  <c r="H91" i="55"/>
  <c r="I87" i="55"/>
  <c r="I89" i="55" s="1"/>
  <c r="G90" i="55"/>
  <c r="N33" i="58"/>
  <c r="I28" i="17"/>
  <c r="L30" i="58"/>
  <c r="L31" i="58" s="1"/>
  <c r="M19" i="58"/>
  <c r="J80" i="53"/>
  <c r="G130" i="24"/>
  <c r="E71" i="24"/>
  <c r="K15" i="24"/>
  <c r="G131" i="24"/>
  <c r="G127" i="24"/>
  <c r="G128" i="24"/>
  <c r="J41" i="24"/>
  <c r="G123" i="24"/>
  <c r="I119" i="24"/>
  <c r="I121" i="24" s="1"/>
  <c r="J67" i="24"/>
  <c r="G126" i="24"/>
  <c r="L30" i="17"/>
  <c r="L25" i="17"/>
  <c r="L26" i="17" s="1"/>
  <c r="M23" i="17"/>
  <c r="S65" i="24"/>
  <c r="G129" i="24"/>
  <c r="G134" i="24"/>
  <c r="G124" i="24"/>
  <c r="G125" i="24"/>
  <c r="G133" i="24"/>
  <c r="G132" i="24"/>
  <c r="H155" i="24"/>
  <c r="H191" i="24" s="1"/>
  <c r="F207" i="24"/>
  <c r="F45" i="24" s="1"/>
  <c r="F52" i="24" s="1"/>
  <c r="G122" i="24"/>
  <c r="F171" i="24"/>
  <c r="F19" i="24" s="1"/>
  <c r="F26" i="24" s="1"/>
  <c r="K26" i="17"/>
  <c r="H80" i="70" l="1"/>
  <c r="H60" i="70"/>
  <c r="I55" i="70"/>
  <c r="I75" i="70"/>
  <c r="I77" i="70"/>
  <c r="I57" i="70"/>
  <c r="I79" i="70"/>
  <c r="I59" i="70"/>
  <c r="I78" i="70"/>
  <c r="I58" i="70"/>
  <c r="I76" i="70"/>
  <c r="I56" i="70"/>
  <c r="I74" i="70"/>
  <c r="I54" i="70"/>
  <c r="I244" i="71"/>
  <c r="I249" i="71"/>
  <c r="I245" i="71"/>
  <c r="I247" i="71"/>
  <c r="I246" i="71"/>
  <c r="I248" i="71"/>
  <c r="I37" i="71"/>
  <c r="I295" i="71" s="1"/>
  <c r="I19" i="71"/>
  <c r="I277" i="71" s="1"/>
  <c r="I38" i="71"/>
  <c r="I296" i="71" s="1"/>
  <c r="I39" i="71"/>
  <c r="I297" i="71" s="1"/>
  <c r="I34" i="71"/>
  <c r="I14" i="71"/>
  <c r="I35" i="71"/>
  <c r="I293" i="71" s="1"/>
  <c r="I16" i="71"/>
  <c r="I274" i="71" s="1"/>
  <c r="I15" i="71"/>
  <c r="I273" i="71" s="1"/>
  <c r="I17" i="71"/>
  <c r="I275" i="71" s="1"/>
  <c r="I18" i="71"/>
  <c r="I276" i="71" s="1"/>
  <c r="I36" i="71"/>
  <c r="I294" i="71" s="1"/>
  <c r="L12" i="71"/>
  <c r="J243" i="71"/>
  <c r="J49" i="56"/>
  <c r="J20" i="56"/>
  <c r="J18" i="56"/>
  <c r="J25" i="56"/>
  <c r="J54" i="56"/>
  <c r="J52" i="56"/>
  <c r="J23" i="56"/>
  <c r="J46" i="56"/>
  <c r="J24" i="56"/>
  <c r="J50" i="56"/>
  <c r="J53" i="56"/>
  <c r="J22" i="56"/>
  <c r="J51" i="56"/>
  <c r="J21" i="56"/>
  <c r="J27" i="56"/>
  <c r="J47" i="56"/>
  <c r="J55" i="56"/>
  <c r="J19" i="56"/>
  <c r="J48" i="56"/>
  <c r="J26" i="56"/>
  <c r="K160" i="56"/>
  <c r="L157" i="56"/>
  <c r="L159" i="56" s="1"/>
  <c r="I56" i="56"/>
  <c r="I66" i="56"/>
  <c r="I28" i="56"/>
  <c r="H68" i="56"/>
  <c r="I24" i="58" s="1"/>
  <c r="I67" i="56"/>
  <c r="G49" i="71"/>
  <c r="G50" i="71" s="1"/>
  <c r="H26" i="58" s="1"/>
  <c r="G298" i="71"/>
  <c r="F64" i="71"/>
  <c r="H274" i="71"/>
  <c r="H292" i="71"/>
  <c r="H298" i="71" s="1"/>
  <c r="H40" i="71"/>
  <c r="G278" i="71"/>
  <c r="H272" i="71"/>
  <c r="H20" i="71"/>
  <c r="H276" i="71"/>
  <c r="F50" i="71"/>
  <c r="I109" i="71"/>
  <c r="J107" i="71"/>
  <c r="H51" i="55"/>
  <c r="H50" i="55"/>
  <c r="H49" i="55"/>
  <c r="H52" i="55"/>
  <c r="H53" i="55"/>
  <c r="H89" i="70"/>
  <c r="H90" i="70" s="1"/>
  <c r="S11" i="58"/>
  <c r="Q13" i="17"/>
  <c r="Q19" i="17" s="1"/>
  <c r="Q20" i="17" s="1"/>
  <c r="Q21" i="17" s="1"/>
  <c r="L193" i="70"/>
  <c r="L195" i="70" s="1"/>
  <c r="K196" i="70"/>
  <c r="S6" i="17"/>
  <c r="S22" i="17" s="1"/>
  <c r="T4" i="58"/>
  <c r="T11" i="58" s="1"/>
  <c r="K64" i="56"/>
  <c r="H92" i="55"/>
  <c r="H90" i="55"/>
  <c r="I91" i="55"/>
  <c r="J87" i="55"/>
  <c r="J89" i="55" s="1"/>
  <c r="F54" i="55"/>
  <c r="F23" i="58" s="1"/>
  <c r="O33" i="58"/>
  <c r="J28" i="17"/>
  <c r="M30" i="58"/>
  <c r="M31" i="58" s="1"/>
  <c r="N19" i="58"/>
  <c r="H132" i="24"/>
  <c r="K80" i="53"/>
  <c r="H130" i="24"/>
  <c r="H123" i="24"/>
  <c r="H127" i="24"/>
  <c r="H126" i="24"/>
  <c r="H129" i="24"/>
  <c r="H128" i="24"/>
  <c r="F71" i="24"/>
  <c r="M25" i="17"/>
  <c r="M26" i="17" s="1"/>
  <c r="N23" i="17"/>
  <c r="M30" i="17"/>
  <c r="H133" i="24"/>
  <c r="H134" i="24"/>
  <c r="K67" i="24"/>
  <c r="J119" i="24"/>
  <c r="J121" i="24" s="1"/>
  <c r="E78" i="24"/>
  <c r="G171" i="24"/>
  <c r="G19" i="24" s="1"/>
  <c r="G26" i="24" s="1"/>
  <c r="H122" i="24"/>
  <c r="G207" i="24"/>
  <c r="G45" i="24" s="1"/>
  <c r="G52" i="24" s="1"/>
  <c r="I155" i="24"/>
  <c r="I191" i="24" s="1"/>
  <c r="L15" i="24"/>
  <c r="K41" i="24"/>
  <c r="H125" i="24"/>
  <c r="H131" i="24"/>
  <c r="H124" i="24"/>
  <c r="I80" i="70" l="1"/>
  <c r="I60" i="70"/>
  <c r="J78" i="70"/>
  <c r="J58" i="70"/>
  <c r="J56" i="70"/>
  <c r="J76" i="70"/>
  <c r="J57" i="70"/>
  <c r="J77" i="70"/>
  <c r="J55" i="70"/>
  <c r="J75" i="70"/>
  <c r="J59" i="70"/>
  <c r="J79" i="70"/>
  <c r="J74" i="70"/>
  <c r="J54" i="70"/>
  <c r="J244" i="71"/>
  <c r="J246" i="71"/>
  <c r="J248" i="71"/>
  <c r="J249" i="71"/>
  <c r="J245" i="71"/>
  <c r="J247" i="71"/>
  <c r="J18" i="71"/>
  <c r="J37" i="71"/>
  <c r="J19" i="71"/>
  <c r="J39" i="71"/>
  <c r="J38" i="71"/>
  <c r="J34" i="71"/>
  <c r="J14" i="71"/>
  <c r="J16" i="71"/>
  <c r="J35" i="71"/>
  <c r="J15" i="71"/>
  <c r="J17" i="71"/>
  <c r="J36" i="71"/>
  <c r="M12" i="71"/>
  <c r="K243" i="71"/>
  <c r="K19" i="56"/>
  <c r="K25" i="56"/>
  <c r="K55" i="56"/>
  <c r="K20" i="56"/>
  <c r="K18" i="56"/>
  <c r="K48" i="56"/>
  <c r="K50" i="56"/>
  <c r="K23" i="56"/>
  <c r="K24" i="56"/>
  <c r="K53" i="56"/>
  <c r="K54" i="56"/>
  <c r="K26" i="56"/>
  <c r="K27" i="56"/>
  <c r="K47" i="56"/>
  <c r="K22" i="56"/>
  <c r="K49" i="56"/>
  <c r="K51" i="56"/>
  <c r="K21" i="56"/>
  <c r="K52" i="56"/>
  <c r="K46" i="56"/>
  <c r="J67" i="56"/>
  <c r="J66" i="56"/>
  <c r="J56" i="56"/>
  <c r="L160" i="56"/>
  <c r="M157" i="56"/>
  <c r="M159" i="56" s="1"/>
  <c r="J28" i="56"/>
  <c r="I68" i="56"/>
  <c r="J24" i="58" s="1"/>
  <c r="H49" i="71"/>
  <c r="H50" i="71" s="1"/>
  <c r="I26" i="58" s="1"/>
  <c r="G64" i="71"/>
  <c r="G65" i="71" s="1"/>
  <c r="I292" i="71"/>
  <c r="I298" i="71" s="1"/>
  <c r="I40" i="71"/>
  <c r="G26" i="58"/>
  <c r="I272" i="71"/>
  <c r="I278" i="71" s="1"/>
  <c r="I20" i="71"/>
  <c r="H278" i="71"/>
  <c r="H64" i="71" s="1"/>
  <c r="H65" i="71" s="1"/>
  <c r="F65" i="71"/>
  <c r="J109" i="71"/>
  <c r="K107" i="71"/>
  <c r="I50" i="55"/>
  <c r="I49" i="55"/>
  <c r="I51" i="55"/>
  <c r="I52" i="55"/>
  <c r="I53" i="55"/>
  <c r="I89" i="70"/>
  <c r="I90" i="70" s="1"/>
  <c r="J25" i="58" s="1"/>
  <c r="T18" i="58"/>
  <c r="I25" i="58"/>
  <c r="M193" i="70"/>
  <c r="M195" i="70" s="1"/>
  <c r="L196" i="70"/>
  <c r="E27" i="17"/>
  <c r="E31" i="17" s="1"/>
  <c r="E32" i="17" s="1"/>
  <c r="F21" i="58"/>
  <c r="F35" i="58" s="1"/>
  <c r="L64" i="56"/>
  <c r="I90" i="55"/>
  <c r="I92" i="55"/>
  <c r="G54" i="55"/>
  <c r="G23" i="58" s="1"/>
  <c r="J91" i="55"/>
  <c r="K87" i="55"/>
  <c r="K89" i="55" s="1"/>
  <c r="P33" i="58"/>
  <c r="K28" i="17"/>
  <c r="O19" i="58"/>
  <c r="N30" i="58"/>
  <c r="N31" i="58" s="1"/>
  <c r="L80" i="53"/>
  <c r="I127" i="24"/>
  <c r="I124" i="24"/>
  <c r="I129" i="24"/>
  <c r="I125" i="24"/>
  <c r="I132" i="24"/>
  <c r="I126" i="24"/>
  <c r="I128" i="24"/>
  <c r="L41" i="24"/>
  <c r="M15" i="24"/>
  <c r="F78" i="24"/>
  <c r="I123" i="24"/>
  <c r="J155" i="24"/>
  <c r="J191" i="24" s="1"/>
  <c r="I131" i="24"/>
  <c r="I130" i="24"/>
  <c r="I134" i="24"/>
  <c r="G71" i="24"/>
  <c r="O23" i="17"/>
  <c r="N25" i="17"/>
  <c r="N26" i="17" s="1"/>
  <c r="N30" i="17"/>
  <c r="K119" i="24"/>
  <c r="K121" i="24" s="1"/>
  <c r="L67" i="24"/>
  <c r="H207" i="24"/>
  <c r="H45" i="24" s="1"/>
  <c r="H52" i="24" s="1"/>
  <c r="I122" i="24"/>
  <c r="H171" i="24"/>
  <c r="H19" i="24" s="1"/>
  <c r="H26" i="24" s="1"/>
  <c r="I133" i="24"/>
  <c r="J80" i="70" l="1"/>
  <c r="J60" i="70"/>
  <c r="J89" i="70" s="1"/>
  <c r="J90" i="70" s="1"/>
  <c r="K25" i="58" s="1"/>
  <c r="K77" i="70"/>
  <c r="K57" i="70"/>
  <c r="K75" i="70"/>
  <c r="K55" i="70"/>
  <c r="K79" i="70"/>
  <c r="K59" i="70"/>
  <c r="K78" i="70"/>
  <c r="K58" i="70"/>
  <c r="K76" i="70"/>
  <c r="K56" i="70"/>
  <c r="K74" i="70"/>
  <c r="K54" i="70"/>
  <c r="K246" i="71"/>
  <c r="K244" i="71"/>
  <c r="K245" i="71"/>
  <c r="K247" i="71"/>
  <c r="K248" i="71"/>
  <c r="K249" i="71"/>
  <c r="K36" i="71"/>
  <c r="K294" i="71" s="1"/>
  <c r="K18" i="71"/>
  <c r="K276" i="71" s="1"/>
  <c r="K37" i="71"/>
  <c r="K295" i="71" s="1"/>
  <c r="K19" i="71"/>
  <c r="K277" i="71" s="1"/>
  <c r="K38" i="71"/>
  <c r="K296" i="71" s="1"/>
  <c r="K39" i="71"/>
  <c r="K297" i="71" s="1"/>
  <c r="K14" i="71"/>
  <c r="K34" i="71"/>
  <c r="K16" i="71"/>
  <c r="K274" i="71" s="1"/>
  <c r="K35" i="71"/>
  <c r="K293" i="71" s="1"/>
  <c r="K15" i="71"/>
  <c r="K273" i="71" s="1"/>
  <c r="K17" i="71"/>
  <c r="K275" i="71" s="1"/>
  <c r="N12" i="71"/>
  <c r="L243" i="71"/>
  <c r="J68" i="56"/>
  <c r="K24" i="58" s="1"/>
  <c r="K67" i="56"/>
  <c r="I64" i="71"/>
  <c r="I65" i="71" s="1"/>
  <c r="K56" i="56"/>
  <c r="K66" i="56"/>
  <c r="L55" i="56"/>
  <c r="L52" i="56"/>
  <c r="L20" i="56"/>
  <c r="L24" i="56"/>
  <c r="L46" i="56"/>
  <c r="L25" i="56"/>
  <c r="L26" i="56"/>
  <c r="L21" i="56"/>
  <c r="L47" i="56"/>
  <c r="L50" i="56"/>
  <c r="L27" i="56"/>
  <c r="L48" i="56"/>
  <c r="L22" i="56"/>
  <c r="L53" i="56"/>
  <c r="L54" i="56"/>
  <c r="L51" i="56"/>
  <c r="L23" i="56"/>
  <c r="L49" i="56"/>
  <c r="L18" i="56"/>
  <c r="L19" i="56"/>
  <c r="K28" i="56"/>
  <c r="M160" i="56"/>
  <c r="N157" i="56"/>
  <c r="N159" i="56" s="1"/>
  <c r="I49" i="71"/>
  <c r="J296" i="71"/>
  <c r="J292" i="71"/>
  <c r="J40" i="71"/>
  <c r="J275" i="71"/>
  <c r="J297" i="71"/>
  <c r="J277" i="71"/>
  <c r="J293" i="71"/>
  <c r="J295" i="71"/>
  <c r="J276" i="71"/>
  <c r="J273" i="71"/>
  <c r="J272" i="71"/>
  <c r="J20" i="71"/>
  <c r="J274" i="71"/>
  <c r="J294" i="71"/>
  <c r="K109" i="71"/>
  <c r="L107" i="71"/>
  <c r="J51" i="55"/>
  <c r="J49" i="55"/>
  <c r="J52" i="55"/>
  <c r="J53" i="55"/>
  <c r="J50" i="55"/>
  <c r="E43" i="17"/>
  <c r="F28" i="58"/>
  <c r="F32" i="58" s="1"/>
  <c r="F27" i="17"/>
  <c r="F31" i="17" s="1"/>
  <c r="F32" i="17" s="1"/>
  <c r="G21" i="58"/>
  <c r="G35" i="58" s="1"/>
  <c r="M196" i="70"/>
  <c r="N193" i="70"/>
  <c r="N195" i="70" s="1"/>
  <c r="M64" i="56"/>
  <c r="J90" i="55"/>
  <c r="J92" i="55"/>
  <c r="H54" i="55"/>
  <c r="H23" i="58" s="1"/>
  <c r="K91" i="55"/>
  <c r="L87" i="55"/>
  <c r="L89" i="55" s="1"/>
  <c r="E34" i="17"/>
  <c r="E40" i="17" s="1"/>
  <c r="Q33" i="58"/>
  <c r="L28" i="17"/>
  <c r="O30" i="58"/>
  <c r="O31" i="58" s="1"/>
  <c r="P19" i="58"/>
  <c r="M80" i="53"/>
  <c r="J134" i="24"/>
  <c r="J123" i="24"/>
  <c r="J126" i="24"/>
  <c r="J124" i="24"/>
  <c r="J127" i="24"/>
  <c r="J129" i="24"/>
  <c r="J131" i="24"/>
  <c r="H71" i="24"/>
  <c r="L119" i="24"/>
  <c r="L121" i="24" s="1"/>
  <c r="M67" i="24"/>
  <c r="J128" i="24"/>
  <c r="K155" i="24"/>
  <c r="K191" i="24" s="1"/>
  <c r="P23" i="17"/>
  <c r="O30" i="17"/>
  <c r="O25" i="17"/>
  <c r="O26" i="17" s="1"/>
  <c r="J125" i="24"/>
  <c r="N15" i="24"/>
  <c r="I207" i="24"/>
  <c r="I45" i="24" s="1"/>
  <c r="I52" i="24" s="1"/>
  <c r="J122" i="24"/>
  <c r="I171" i="24"/>
  <c r="I19" i="24" s="1"/>
  <c r="I26" i="24" s="1"/>
  <c r="M41" i="24"/>
  <c r="J132" i="24"/>
  <c r="J130" i="24"/>
  <c r="G78" i="24"/>
  <c r="J133" i="24"/>
  <c r="K80" i="70" l="1"/>
  <c r="K60" i="70"/>
  <c r="L79" i="70"/>
  <c r="L59" i="70"/>
  <c r="L78" i="70"/>
  <c r="L58" i="70"/>
  <c r="L77" i="70"/>
  <c r="L57" i="70"/>
  <c r="L75" i="70"/>
  <c r="L55" i="70"/>
  <c r="L74" i="70"/>
  <c r="L54" i="70"/>
  <c r="L56" i="70"/>
  <c r="L76" i="70"/>
  <c r="L249" i="71"/>
  <c r="L246" i="71"/>
  <c r="L247" i="71"/>
  <c r="L244" i="71"/>
  <c r="L245" i="71"/>
  <c r="L248" i="71"/>
  <c r="L17" i="71"/>
  <c r="L275" i="71" s="1"/>
  <c r="L38" i="71"/>
  <c r="L296" i="71" s="1"/>
  <c r="L36" i="71"/>
  <c r="L294" i="71" s="1"/>
  <c r="L18" i="71"/>
  <c r="L37" i="71"/>
  <c r="L295" i="71" s="1"/>
  <c r="L19" i="71"/>
  <c r="L277" i="71" s="1"/>
  <c r="L39" i="71"/>
  <c r="L297" i="71" s="1"/>
  <c r="L34" i="71"/>
  <c r="L14" i="71"/>
  <c r="L16" i="71"/>
  <c r="L15" i="71"/>
  <c r="L273" i="71" s="1"/>
  <c r="L35" i="71"/>
  <c r="L293" i="71" s="1"/>
  <c r="O12" i="71"/>
  <c r="M243" i="71"/>
  <c r="K68" i="56"/>
  <c r="L24" i="58" s="1"/>
  <c r="L66" i="56"/>
  <c r="L56" i="56"/>
  <c r="L28" i="56"/>
  <c r="M20" i="56"/>
  <c r="M50" i="56"/>
  <c r="M48" i="56"/>
  <c r="M22" i="56"/>
  <c r="M54" i="56"/>
  <c r="M49" i="56"/>
  <c r="M47" i="56"/>
  <c r="M23" i="56"/>
  <c r="M24" i="56"/>
  <c r="M26" i="56"/>
  <c r="M18" i="56"/>
  <c r="M52" i="56"/>
  <c r="M25" i="56"/>
  <c r="M51" i="56"/>
  <c r="M27" i="56"/>
  <c r="M19" i="56"/>
  <c r="M21" i="56"/>
  <c r="M55" i="56"/>
  <c r="M53" i="56"/>
  <c r="M46" i="56"/>
  <c r="L67" i="56"/>
  <c r="N160" i="56"/>
  <c r="O157" i="56"/>
  <c r="O159" i="56" s="1"/>
  <c r="K292" i="71"/>
  <c r="K298" i="71" s="1"/>
  <c r="K40" i="71"/>
  <c r="J278" i="71"/>
  <c r="I50" i="71"/>
  <c r="J49" i="71"/>
  <c r="J50" i="71" s="1"/>
  <c r="K26" i="58" s="1"/>
  <c r="K272" i="71"/>
  <c r="K278" i="71" s="1"/>
  <c r="K20" i="71"/>
  <c r="J298" i="71"/>
  <c r="L109" i="71"/>
  <c r="M107" i="71"/>
  <c r="K52" i="55"/>
  <c r="K50" i="55"/>
  <c r="K49" i="55"/>
  <c r="K51" i="55"/>
  <c r="K53" i="55"/>
  <c r="K89" i="70"/>
  <c r="K90" i="70" s="1"/>
  <c r="G28" i="58"/>
  <c r="G32" i="58" s="1"/>
  <c r="G34" i="58" s="1"/>
  <c r="F43" i="17"/>
  <c r="G27" i="17"/>
  <c r="G31" i="17" s="1"/>
  <c r="G32" i="17" s="1"/>
  <c r="H21" i="58"/>
  <c r="H35" i="58" s="1"/>
  <c r="O193" i="70"/>
  <c r="O195" i="70" s="1"/>
  <c r="N196" i="70"/>
  <c r="N64" i="56"/>
  <c r="I54" i="55"/>
  <c r="I23" i="58" s="1"/>
  <c r="K90" i="55"/>
  <c r="K92" i="55"/>
  <c r="L91" i="55"/>
  <c r="M87" i="55"/>
  <c r="M89" i="55" s="1"/>
  <c r="F34" i="17"/>
  <c r="F40" i="17" s="1"/>
  <c r="R33" i="58"/>
  <c r="M28" i="17"/>
  <c r="Q19" i="58"/>
  <c r="P30" i="58"/>
  <c r="P31" i="58" s="1"/>
  <c r="N80" i="53"/>
  <c r="K123" i="24"/>
  <c r="K134" i="24"/>
  <c r="I71" i="24"/>
  <c r="K127" i="24"/>
  <c r="F34" i="58"/>
  <c r="K129" i="24"/>
  <c r="J171" i="24"/>
  <c r="J19" i="24" s="1"/>
  <c r="J26" i="24" s="1"/>
  <c r="K122" i="24"/>
  <c r="J207" i="24"/>
  <c r="J45" i="24" s="1"/>
  <c r="J52" i="24" s="1"/>
  <c r="K131" i="24"/>
  <c r="K133" i="24"/>
  <c r="N41" i="24"/>
  <c r="O15" i="24"/>
  <c r="K132" i="24"/>
  <c r="M119" i="24"/>
  <c r="M121" i="24" s="1"/>
  <c r="N67" i="24"/>
  <c r="H78" i="24"/>
  <c r="K124" i="24"/>
  <c r="K128" i="24"/>
  <c r="K130" i="24"/>
  <c r="K126" i="24"/>
  <c r="K125" i="24"/>
  <c r="P30" i="17"/>
  <c r="P25" i="17"/>
  <c r="P26" i="17" s="1"/>
  <c r="Q23" i="17"/>
  <c r="L155" i="24"/>
  <c r="L191" i="24" s="1"/>
  <c r="L80" i="70" l="1"/>
  <c r="L60" i="70"/>
  <c r="M78" i="70"/>
  <c r="M58" i="70"/>
  <c r="M75" i="70"/>
  <c r="M55" i="70"/>
  <c r="M54" i="70"/>
  <c r="M74" i="70"/>
  <c r="M77" i="70"/>
  <c r="M57" i="70"/>
  <c r="M76" i="70"/>
  <c r="M56" i="70"/>
  <c r="M59" i="70"/>
  <c r="M79" i="70"/>
  <c r="M248" i="71"/>
  <c r="M246" i="71"/>
  <c r="M249" i="71"/>
  <c r="M247" i="71"/>
  <c r="M245" i="71"/>
  <c r="M244" i="71"/>
  <c r="M35" i="71"/>
  <c r="M293" i="71" s="1"/>
  <c r="M15" i="71"/>
  <c r="M273" i="71" s="1"/>
  <c r="M19" i="71"/>
  <c r="M277" i="71" s="1"/>
  <c r="M17" i="71"/>
  <c r="M275" i="71" s="1"/>
  <c r="M36" i="71"/>
  <c r="M294" i="71" s="1"/>
  <c r="M18" i="71"/>
  <c r="M276" i="71" s="1"/>
  <c r="M37" i="71"/>
  <c r="M295" i="71" s="1"/>
  <c r="M38" i="71"/>
  <c r="M296" i="71" s="1"/>
  <c r="M39" i="71"/>
  <c r="M297" i="71" s="1"/>
  <c r="M16" i="71"/>
  <c r="M274" i="71" s="1"/>
  <c r="M34" i="71"/>
  <c r="M14" i="71"/>
  <c r="P12" i="71"/>
  <c r="N243" i="71"/>
  <c r="M28" i="56"/>
  <c r="N23" i="56"/>
  <c r="N18" i="56"/>
  <c r="N48" i="56"/>
  <c r="N19" i="56"/>
  <c r="N55" i="56"/>
  <c r="N52" i="56"/>
  <c r="N49" i="56"/>
  <c r="N54" i="56"/>
  <c r="N26" i="56"/>
  <c r="N21" i="56"/>
  <c r="N25" i="56"/>
  <c r="N24" i="56"/>
  <c r="N46" i="56"/>
  <c r="N22" i="56"/>
  <c r="N53" i="56"/>
  <c r="N27" i="56"/>
  <c r="N20" i="56"/>
  <c r="N47" i="56"/>
  <c r="N51" i="56"/>
  <c r="N50" i="56"/>
  <c r="M66" i="56"/>
  <c r="M56" i="56"/>
  <c r="O160" i="56"/>
  <c r="P157" i="56"/>
  <c r="P159" i="56" s="1"/>
  <c r="M67" i="56"/>
  <c r="L68" i="56"/>
  <c r="M24" i="58" s="1"/>
  <c r="J26" i="58"/>
  <c r="L276" i="71"/>
  <c r="L272" i="71"/>
  <c r="L20" i="71"/>
  <c r="K49" i="71"/>
  <c r="J64" i="71"/>
  <c r="L274" i="71"/>
  <c r="K64" i="71"/>
  <c r="K65" i="71" s="1"/>
  <c r="L292" i="71"/>
  <c r="L298" i="71" s="1"/>
  <c r="L40" i="71"/>
  <c r="M109" i="71"/>
  <c r="N107" i="71"/>
  <c r="L49" i="55"/>
  <c r="L52" i="55"/>
  <c r="L50" i="55"/>
  <c r="L53" i="55"/>
  <c r="L51" i="55"/>
  <c r="L89" i="70"/>
  <c r="L90" i="70" s="1"/>
  <c r="M25" i="58" s="1"/>
  <c r="G43" i="17"/>
  <c r="H28" i="58"/>
  <c r="H32" i="58" s="1"/>
  <c r="L25" i="58"/>
  <c r="H27" i="17"/>
  <c r="H31" i="17" s="1"/>
  <c r="H32" i="17" s="1"/>
  <c r="I21" i="58"/>
  <c r="I35" i="58" s="1"/>
  <c r="O196" i="70"/>
  <c r="P193" i="70"/>
  <c r="P195" i="70" s="1"/>
  <c r="O64" i="56"/>
  <c r="L92" i="55"/>
  <c r="J54" i="55"/>
  <c r="J23" i="58" s="1"/>
  <c r="M91" i="55"/>
  <c r="N87" i="55"/>
  <c r="N89" i="55" s="1"/>
  <c r="L90" i="55"/>
  <c r="G34" i="17"/>
  <c r="G40" i="17" s="1"/>
  <c r="S33" i="58"/>
  <c r="N28" i="17"/>
  <c r="R19" i="58"/>
  <c r="Q30" i="58"/>
  <c r="Q31" i="58" s="1"/>
  <c r="O80" i="53"/>
  <c r="L123" i="24"/>
  <c r="J71" i="24"/>
  <c r="L125" i="24"/>
  <c r="L129" i="24"/>
  <c r="O67" i="24"/>
  <c r="N119" i="24"/>
  <c r="N121" i="24" s="1"/>
  <c r="O41" i="24"/>
  <c r="Q30" i="17"/>
  <c r="Q25" i="17"/>
  <c r="Q26" i="17" s="1"/>
  <c r="R23" i="17"/>
  <c r="L126" i="24"/>
  <c r="M155" i="24"/>
  <c r="M191" i="24" s="1"/>
  <c r="P15" i="24"/>
  <c r="L128" i="24"/>
  <c r="L133" i="24"/>
  <c r="L134" i="24"/>
  <c r="L124" i="24"/>
  <c r="L132" i="24"/>
  <c r="L131" i="24"/>
  <c r="I78" i="24"/>
  <c r="K207" i="24"/>
  <c r="K45" i="24" s="1"/>
  <c r="K52" i="24" s="1"/>
  <c r="K171" i="24"/>
  <c r="K19" i="24" s="1"/>
  <c r="K26" i="24" s="1"/>
  <c r="L122" i="24"/>
  <c r="L127" i="24"/>
  <c r="L130" i="24"/>
  <c r="M60" i="70" l="1"/>
  <c r="M80" i="70"/>
  <c r="N54" i="70"/>
  <c r="N74" i="70"/>
  <c r="N75" i="70"/>
  <c r="N55" i="70"/>
  <c r="N57" i="70"/>
  <c r="N77" i="70"/>
  <c r="N79" i="70"/>
  <c r="N59" i="70"/>
  <c r="N56" i="70"/>
  <c r="N76" i="70"/>
  <c r="N78" i="70"/>
  <c r="N58" i="70"/>
  <c r="N248" i="71"/>
  <c r="N247" i="71"/>
  <c r="N244" i="71"/>
  <c r="N249" i="71"/>
  <c r="N245" i="71"/>
  <c r="N246" i="71"/>
  <c r="M68" i="56"/>
  <c r="N24" i="58" s="1"/>
  <c r="N16" i="71"/>
  <c r="N274" i="71" s="1"/>
  <c r="N35" i="71"/>
  <c r="N293" i="71" s="1"/>
  <c r="N15" i="71"/>
  <c r="N273" i="71" s="1"/>
  <c r="N17" i="71"/>
  <c r="N275" i="71" s="1"/>
  <c r="N37" i="71"/>
  <c r="N295" i="71" s="1"/>
  <c r="N36" i="71"/>
  <c r="N18" i="71"/>
  <c r="N276" i="71" s="1"/>
  <c r="N19" i="71"/>
  <c r="N277" i="71" s="1"/>
  <c r="N38" i="71"/>
  <c r="N296" i="71" s="1"/>
  <c r="N39" i="71"/>
  <c r="N297" i="71" s="1"/>
  <c r="N14" i="71"/>
  <c r="N34" i="71"/>
  <c r="Q12" i="71"/>
  <c r="O243" i="71"/>
  <c r="O46" i="56"/>
  <c r="O51" i="56"/>
  <c r="O49" i="56"/>
  <c r="O20" i="56"/>
  <c r="O50" i="56"/>
  <c r="O55" i="56"/>
  <c r="O25" i="56"/>
  <c r="O24" i="56"/>
  <c r="O53" i="56"/>
  <c r="O26" i="56"/>
  <c r="O19" i="56"/>
  <c r="O54" i="56"/>
  <c r="O18" i="56"/>
  <c r="O23" i="56"/>
  <c r="O21" i="56"/>
  <c r="O52" i="56"/>
  <c r="O48" i="56"/>
  <c r="O22" i="56"/>
  <c r="O47" i="56"/>
  <c r="O27" i="56"/>
  <c r="N66" i="56"/>
  <c r="N56" i="56"/>
  <c r="N67" i="56"/>
  <c r="N28" i="56"/>
  <c r="P160" i="56"/>
  <c r="Q157" i="56"/>
  <c r="Q159" i="56" s="1"/>
  <c r="J65" i="71"/>
  <c r="L278" i="71"/>
  <c r="L64" i="71" s="1"/>
  <c r="L65" i="71" s="1"/>
  <c r="N294" i="71"/>
  <c r="L49" i="71"/>
  <c r="L50" i="71" s="1"/>
  <c r="M26" i="58" s="1"/>
  <c r="K50" i="71"/>
  <c r="M272" i="71"/>
  <c r="M278" i="71" s="1"/>
  <c r="M20" i="71"/>
  <c r="M292" i="71"/>
  <c r="M298" i="71" s="1"/>
  <c r="M40" i="71"/>
  <c r="N109" i="71"/>
  <c r="O107" i="71"/>
  <c r="M52" i="55"/>
  <c r="M53" i="55"/>
  <c r="M51" i="55"/>
  <c r="M50" i="55"/>
  <c r="M49" i="55"/>
  <c r="I28" i="58"/>
  <c r="I32" i="58" s="1"/>
  <c r="I34" i="58" s="1"/>
  <c r="M89" i="70"/>
  <c r="M90" i="70" s="1"/>
  <c r="N25" i="58" s="1"/>
  <c r="H43" i="17"/>
  <c r="I27" i="17"/>
  <c r="I31" i="17" s="1"/>
  <c r="I32" i="17" s="1"/>
  <c r="J21" i="58"/>
  <c r="J35" i="58" s="1"/>
  <c r="P196" i="70"/>
  <c r="Q193" i="70"/>
  <c r="Q195" i="70" s="1"/>
  <c r="P64" i="56"/>
  <c r="M90" i="55"/>
  <c r="M92" i="55"/>
  <c r="K54" i="55"/>
  <c r="K23" i="58" s="1"/>
  <c r="N91" i="55"/>
  <c r="O87" i="55"/>
  <c r="O89" i="55" s="1"/>
  <c r="H34" i="17"/>
  <c r="H40" i="17" s="1"/>
  <c r="T33" i="58"/>
  <c r="O28" i="17"/>
  <c r="M123" i="24"/>
  <c r="R30" i="58"/>
  <c r="R31" i="58" s="1"/>
  <c r="S19" i="58"/>
  <c r="P80" i="53"/>
  <c r="M133" i="24"/>
  <c r="M126" i="24"/>
  <c r="M124" i="24"/>
  <c r="M130" i="24"/>
  <c r="M128" i="24"/>
  <c r="M131" i="24"/>
  <c r="M127" i="24"/>
  <c r="M132" i="24"/>
  <c r="M134" i="24"/>
  <c r="K71" i="24"/>
  <c r="Q15" i="24"/>
  <c r="L171" i="24"/>
  <c r="L19" i="24" s="1"/>
  <c r="L26" i="24" s="1"/>
  <c r="L207" i="24"/>
  <c r="L45" i="24" s="1"/>
  <c r="L52" i="24" s="1"/>
  <c r="M122" i="24"/>
  <c r="M125" i="24"/>
  <c r="N155" i="24"/>
  <c r="N191" i="24" s="1"/>
  <c r="J78" i="24"/>
  <c r="H34" i="58"/>
  <c r="S23" i="17"/>
  <c r="R30" i="17"/>
  <c r="R25" i="17"/>
  <c r="R26" i="17" s="1"/>
  <c r="P67" i="24"/>
  <c r="O119" i="24"/>
  <c r="O121" i="24" s="1"/>
  <c r="P41" i="24"/>
  <c r="M129" i="24"/>
  <c r="N80" i="70" l="1"/>
  <c r="N60" i="70"/>
  <c r="O76" i="70"/>
  <c r="O56" i="70"/>
  <c r="O75" i="70"/>
  <c r="O55" i="70"/>
  <c r="O59" i="70"/>
  <c r="O79" i="70"/>
  <c r="O54" i="70"/>
  <c r="O74" i="70"/>
  <c r="O77" i="70"/>
  <c r="O57" i="70"/>
  <c r="O78" i="70"/>
  <c r="O58" i="70"/>
  <c r="O246" i="71"/>
  <c r="O248" i="71"/>
  <c r="O244" i="71"/>
  <c r="O245" i="71"/>
  <c r="O249" i="71"/>
  <c r="O247" i="71"/>
  <c r="O34" i="71"/>
  <c r="O14" i="71"/>
  <c r="O16" i="71"/>
  <c r="O274" i="71" s="1"/>
  <c r="O35" i="71"/>
  <c r="O293" i="71" s="1"/>
  <c r="O15" i="71"/>
  <c r="O273" i="71" s="1"/>
  <c r="O17" i="71"/>
  <c r="O275" i="71" s="1"/>
  <c r="O18" i="71"/>
  <c r="O276" i="71" s="1"/>
  <c r="O36" i="71"/>
  <c r="O294" i="71" s="1"/>
  <c r="O37" i="71"/>
  <c r="O295" i="71" s="1"/>
  <c r="O19" i="71"/>
  <c r="O277" i="71" s="1"/>
  <c r="O38" i="71"/>
  <c r="O296" i="71" s="1"/>
  <c r="O39" i="71"/>
  <c r="O297" i="71" s="1"/>
  <c r="R12" i="71"/>
  <c r="P243" i="71"/>
  <c r="M64" i="71"/>
  <c r="M65" i="71" s="1"/>
  <c r="N68" i="56"/>
  <c r="O24" i="58" s="1"/>
  <c r="P52" i="56"/>
  <c r="P24" i="56"/>
  <c r="P47" i="56"/>
  <c r="P18" i="56"/>
  <c r="P25" i="56"/>
  <c r="P20" i="56"/>
  <c r="P19" i="56"/>
  <c r="P49" i="56"/>
  <c r="P55" i="56"/>
  <c r="P53" i="56"/>
  <c r="P50" i="56"/>
  <c r="P54" i="56"/>
  <c r="P26" i="56"/>
  <c r="P22" i="56"/>
  <c r="P27" i="56"/>
  <c r="P23" i="56"/>
  <c r="P51" i="56"/>
  <c r="P46" i="56"/>
  <c r="P48" i="56"/>
  <c r="P21" i="56"/>
  <c r="O28" i="56"/>
  <c r="O67" i="56"/>
  <c r="Q160" i="56"/>
  <c r="R157" i="56"/>
  <c r="R159" i="56" s="1"/>
  <c r="J28" i="58"/>
  <c r="J32" i="58" s="1"/>
  <c r="O66" i="56"/>
  <c r="O56" i="56"/>
  <c r="M49" i="71"/>
  <c r="M50" i="71" s="1"/>
  <c r="N26" i="58" s="1"/>
  <c r="N292" i="71"/>
  <c r="N298" i="71" s="1"/>
  <c r="N40" i="71"/>
  <c r="N272" i="71"/>
  <c r="N278" i="71" s="1"/>
  <c r="N20" i="71"/>
  <c r="L26" i="58"/>
  <c r="O109" i="71"/>
  <c r="P107" i="71"/>
  <c r="N50" i="55"/>
  <c r="N53" i="55"/>
  <c r="N52" i="55"/>
  <c r="N51" i="55"/>
  <c r="N49" i="55"/>
  <c r="I43" i="17"/>
  <c r="N89" i="70"/>
  <c r="N90" i="70" s="1"/>
  <c r="O25" i="58" s="1"/>
  <c r="N90" i="55"/>
  <c r="R193" i="70"/>
  <c r="R195" i="70" s="1"/>
  <c r="Q196" i="70"/>
  <c r="J27" i="17"/>
  <c r="J43" i="17" s="1"/>
  <c r="K21" i="58"/>
  <c r="K35" i="58" s="1"/>
  <c r="Q64" i="56"/>
  <c r="N92" i="55"/>
  <c r="O91" i="55"/>
  <c r="P87" i="55"/>
  <c r="P89" i="55" s="1"/>
  <c r="L54" i="55"/>
  <c r="L23" i="58" s="1"/>
  <c r="I34" i="17"/>
  <c r="I40" i="17" s="1"/>
  <c r="P28" i="17"/>
  <c r="S30" i="58"/>
  <c r="S31" i="58" s="1"/>
  <c r="T19" i="58"/>
  <c r="Q80" i="53"/>
  <c r="N125" i="24"/>
  <c r="N128" i="24"/>
  <c r="N124" i="24"/>
  <c r="N132" i="24"/>
  <c r="N131" i="24"/>
  <c r="N130" i="24"/>
  <c r="N126" i="24"/>
  <c r="N133" i="24"/>
  <c r="N123" i="24"/>
  <c r="N129" i="24"/>
  <c r="L71" i="24"/>
  <c r="N134" i="24"/>
  <c r="R15" i="24"/>
  <c r="S25" i="17"/>
  <c r="Q67" i="24"/>
  <c r="P119" i="24"/>
  <c r="P121" i="24" s="1"/>
  <c r="K78" i="24"/>
  <c r="Q41" i="24"/>
  <c r="N127" i="24"/>
  <c r="O155" i="24"/>
  <c r="O191" i="24" s="1"/>
  <c r="M171" i="24"/>
  <c r="M19" i="24" s="1"/>
  <c r="M26" i="24" s="1"/>
  <c r="M207" i="24"/>
  <c r="M45" i="24" s="1"/>
  <c r="M52" i="24" s="1"/>
  <c r="N122" i="24"/>
  <c r="O80" i="70" l="1"/>
  <c r="O60" i="70"/>
  <c r="P77" i="70"/>
  <c r="P57" i="70"/>
  <c r="P79" i="70"/>
  <c r="P59" i="70"/>
  <c r="P55" i="70"/>
  <c r="P75" i="70"/>
  <c r="P74" i="70"/>
  <c r="P54" i="70"/>
  <c r="P78" i="70"/>
  <c r="P58" i="70"/>
  <c r="P76" i="70"/>
  <c r="P56" i="70"/>
  <c r="P246" i="71"/>
  <c r="P247" i="71"/>
  <c r="P249" i="71"/>
  <c r="P244" i="71"/>
  <c r="P248" i="71"/>
  <c r="P245" i="71"/>
  <c r="P15" i="71"/>
  <c r="P273" i="71" s="1"/>
  <c r="P34" i="71"/>
  <c r="P14" i="71"/>
  <c r="P36" i="71"/>
  <c r="P294" i="71" s="1"/>
  <c r="P16" i="71"/>
  <c r="P274" i="71" s="1"/>
  <c r="P35" i="71"/>
  <c r="P293" i="71" s="1"/>
  <c r="P17" i="71"/>
  <c r="P18" i="71"/>
  <c r="P37" i="71"/>
  <c r="P295" i="71" s="1"/>
  <c r="P19" i="71"/>
  <c r="P277" i="71" s="1"/>
  <c r="P38" i="71"/>
  <c r="P296" i="71" s="1"/>
  <c r="P39" i="71"/>
  <c r="P297" i="71" s="1"/>
  <c r="S12" i="71"/>
  <c r="R243" i="71" s="1"/>
  <c r="Q243" i="71"/>
  <c r="N49" i="71"/>
  <c r="N50" i="71" s="1"/>
  <c r="O26" i="58" s="1"/>
  <c r="P67" i="56"/>
  <c r="O68" i="56"/>
  <c r="P24" i="58" s="1"/>
  <c r="Q23" i="56"/>
  <c r="Q25" i="56"/>
  <c r="Q18" i="56"/>
  <c r="Q51" i="56"/>
  <c r="Q20" i="56"/>
  <c r="Q24" i="56"/>
  <c r="Q19" i="56"/>
  <c r="Q46" i="56"/>
  <c r="Q26" i="56"/>
  <c r="Q49" i="56"/>
  <c r="Q47" i="56"/>
  <c r="Q27" i="56"/>
  <c r="Q53" i="56"/>
  <c r="Q54" i="56"/>
  <c r="Q48" i="56"/>
  <c r="Q55" i="56"/>
  <c r="Q52" i="56"/>
  <c r="Q22" i="56"/>
  <c r="Q21" i="56"/>
  <c r="Q50" i="56"/>
  <c r="P28" i="56"/>
  <c r="P56" i="56"/>
  <c r="P66" i="56"/>
  <c r="R160" i="56"/>
  <c r="S157" i="56"/>
  <c r="S159" i="56" s="1"/>
  <c r="N64" i="71"/>
  <c r="N65" i="71" s="1"/>
  <c r="O272" i="71"/>
  <c r="O278" i="71" s="1"/>
  <c r="O20" i="71"/>
  <c r="P275" i="71"/>
  <c r="P276" i="71"/>
  <c r="O292" i="71"/>
  <c r="O298" i="71" s="1"/>
  <c r="O40" i="71"/>
  <c r="P109" i="71"/>
  <c r="Q107" i="71"/>
  <c r="O53" i="55"/>
  <c r="O50" i="55"/>
  <c r="O49" i="55"/>
  <c r="O52" i="55"/>
  <c r="O51" i="55"/>
  <c r="O89" i="70"/>
  <c r="O90" i="70" s="1"/>
  <c r="P25" i="58" s="1"/>
  <c r="J31" i="17"/>
  <c r="J32" i="17" s="1"/>
  <c r="J34" i="17" s="1"/>
  <c r="J40" i="17" s="1"/>
  <c r="K28" i="58"/>
  <c r="K32" i="58" s="1"/>
  <c r="K34" i="58" s="1"/>
  <c r="S193" i="70"/>
  <c r="S195" i="70" s="1"/>
  <c r="R196" i="70"/>
  <c r="K27" i="17"/>
  <c r="K43" i="17" s="1"/>
  <c r="L21" i="58"/>
  <c r="L35" i="58" s="1"/>
  <c r="R64" i="56"/>
  <c r="O92" i="55"/>
  <c r="M54" i="55"/>
  <c r="M23" i="58" s="1"/>
  <c r="P91" i="55"/>
  <c r="Q87" i="55"/>
  <c r="Q89" i="55" s="1"/>
  <c r="O90" i="55"/>
  <c r="Q28" i="17"/>
  <c r="R80" i="53"/>
  <c r="O129" i="24"/>
  <c r="O130" i="24"/>
  <c r="O125" i="24"/>
  <c r="O131" i="24"/>
  <c r="O133" i="24"/>
  <c r="O127" i="24"/>
  <c r="O134" i="24"/>
  <c r="O123" i="24"/>
  <c r="M71" i="24"/>
  <c r="S15" i="24"/>
  <c r="P155" i="24"/>
  <c r="P191" i="24" s="1"/>
  <c r="O132" i="24"/>
  <c r="Q119" i="24"/>
  <c r="Q121" i="24" s="1"/>
  <c r="R67" i="24"/>
  <c r="O126" i="24"/>
  <c r="R41" i="24"/>
  <c r="O128" i="24"/>
  <c r="O124" i="24"/>
  <c r="S26" i="17"/>
  <c r="D4" i="17"/>
  <c r="D5" i="17" s="1"/>
  <c r="L78" i="24"/>
  <c r="N207" i="24"/>
  <c r="N45" i="24" s="1"/>
  <c r="N52" i="24" s="1"/>
  <c r="O122" i="24"/>
  <c r="N171" i="24"/>
  <c r="N19" i="24" s="1"/>
  <c r="N26" i="24" s="1"/>
  <c r="J34" i="58"/>
  <c r="P60" i="70" l="1"/>
  <c r="P80" i="70"/>
  <c r="Q55" i="70"/>
  <c r="Q75" i="70"/>
  <c r="Q78" i="70"/>
  <c r="Q58" i="70"/>
  <c r="Q74" i="70"/>
  <c r="Q54" i="70"/>
  <c r="Q59" i="70"/>
  <c r="Q79" i="70"/>
  <c r="Q77" i="70"/>
  <c r="Q57" i="70"/>
  <c r="Q76" i="70"/>
  <c r="Q56" i="70"/>
  <c r="Q247" i="71"/>
  <c r="Q248" i="71"/>
  <c r="Q245" i="71"/>
  <c r="Q246" i="71"/>
  <c r="Q249" i="71"/>
  <c r="Q244" i="71"/>
  <c r="R246" i="71"/>
  <c r="R249" i="71"/>
  <c r="R244" i="71"/>
  <c r="R248" i="71"/>
  <c r="R247" i="71"/>
  <c r="R245" i="71"/>
  <c r="Q39" i="71"/>
  <c r="Q15" i="71"/>
  <c r="Q273" i="71" s="1"/>
  <c r="Q34" i="71"/>
  <c r="Q14" i="71"/>
  <c r="Q16" i="71"/>
  <c r="Q274" i="71" s="1"/>
  <c r="Q35" i="71"/>
  <c r="Q17" i="71"/>
  <c r="Q275" i="71" s="1"/>
  <c r="Q36" i="71"/>
  <c r="Q294" i="71" s="1"/>
  <c r="Q37" i="71"/>
  <c r="Q295" i="71" s="1"/>
  <c r="Q18" i="71"/>
  <c r="Q276" i="71" s="1"/>
  <c r="Q19" i="71"/>
  <c r="Q277" i="71" s="1"/>
  <c r="Q38" i="71"/>
  <c r="Q296" i="71" s="1"/>
  <c r="O64" i="71"/>
  <c r="O65" i="71" s="1"/>
  <c r="P68" i="56"/>
  <c r="Q24" i="58" s="1"/>
  <c r="O49" i="71"/>
  <c r="O50" i="71" s="1"/>
  <c r="P26" i="58" s="1"/>
  <c r="R51" i="56"/>
  <c r="R27" i="56"/>
  <c r="R52" i="56"/>
  <c r="R55" i="56"/>
  <c r="R50" i="56"/>
  <c r="S160" i="56"/>
  <c r="R19" i="56"/>
  <c r="R54" i="56"/>
  <c r="R26" i="56"/>
  <c r="R20" i="56"/>
  <c r="R18" i="56"/>
  <c r="R46" i="56"/>
  <c r="R23" i="56"/>
  <c r="R48" i="56"/>
  <c r="R53" i="56"/>
  <c r="R24" i="56"/>
  <c r="R21" i="56"/>
  <c r="R25" i="56"/>
  <c r="R47" i="56"/>
  <c r="R22" i="56"/>
  <c r="R49" i="56"/>
  <c r="Q67" i="56"/>
  <c r="Q28" i="56"/>
  <c r="Q66" i="56"/>
  <c r="Q56" i="56"/>
  <c r="P292" i="71"/>
  <c r="P298" i="71" s="1"/>
  <c r="P40" i="71"/>
  <c r="P272" i="71"/>
  <c r="P278" i="71" s="1"/>
  <c r="P20" i="71"/>
  <c r="Q293" i="71"/>
  <c r="Q297" i="71"/>
  <c r="Q109" i="71"/>
  <c r="R107" i="71"/>
  <c r="R109" i="71" s="1"/>
  <c r="P53" i="55"/>
  <c r="P51" i="55"/>
  <c r="P49" i="55"/>
  <c r="P52" i="55"/>
  <c r="P50" i="55"/>
  <c r="P89" i="70"/>
  <c r="P90" i="70" s="1"/>
  <c r="Q25" i="58" s="1"/>
  <c r="L28" i="58"/>
  <c r="L32" i="58" s="1"/>
  <c r="L34" i="58" s="1"/>
  <c r="K31" i="17"/>
  <c r="K32" i="17" s="1"/>
  <c r="K34" i="17" s="1"/>
  <c r="S196" i="70"/>
  <c r="L27" i="17"/>
  <c r="L43" i="17" s="1"/>
  <c r="M21" i="58"/>
  <c r="M35" i="58" s="1"/>
  <c r="S64" i="56"/>
  <c r="P92" i="55"/>
  <c r="P90" i="55"/>
  <c r="Q91" i="55"/>
  <c r="R87" i="55"/>
  <c r="R89" i="55" s="1"/>
  <c r="N54" i="55"/>
  <c r="N23" i="58" s="1"/>
  <c r="R28" i="17"/>
  <c r="P130" i="24"/>
  <c r="P128" i="24"/>
  <c r="S80" i="53"/>
  <c r="P129" i="24"/>
  <c r="P123" i="24"/>
  <c r="P125" i="24"/>
  <c r="P134" i="24"/>
  <c r="P124" i="24"/>
  <c r="P126" i="24"/>
  <c r="P131" i="24"/>
  <c r="N71" i="24"/>
  <c r="S67" i="24"/>
  <c r="R119" i="24"/>
  <c r="R121" i="24" s="1"/>
  <c r="P122" i="24"/>
  <c r="O171" i="24"/>
  <c r="O19" i="24" s="1"/>
  <c r="O26" i="24" s="1"/>
  <c r="O207" i="24"/>
  <c r="O45" i="24" s="1"/>
  <c r="O52" i="24" s="1"/>
  <c r="Q155" i="24"/>
  <c r="Q191" i="24" s="1"/>
  <c r="P133" i="24"/>
  <c r="M78" i="24"/>
  <c r="P127" i="24"/>
  <c r="S41" i="24"/>
  <c r="P132" i="24"/>
  <c r="Q60" i="70" l="1"/>
  <c r="Q80" i="70"/>
  <c r="S75" i="70"/>
  <c r="S55" i="70"/>
  <c r="S77" i="70"/>
  <c r="S57" i="70"/>
  <c r="S78" i="70"/>
  <c r="S58" i="70"/>
  <c r="R74" i="70"/>
  <c r="R54" i="70"/>
  <c r="S59" i="70"/>
  <c r="S79" i="70"/>
  <c r="D69" i="70" s="1"/>
  <c r="R79" i="70"/>
  <c r="R59" i="70"/>
  <c r="R76" i="70"/>
  <c r="R56" i="70"/>
  <c r="R75" i="70"/>
  <c r="D65" i="70" s="1"/>
  <c r="R55" i="70"/>
  <c r="R78" i="70"/>
  <c r="R58" i="70"/>
  <c r="D48" i="70" s="1"/>
  <c r="S54" i="70"/>
  <c r="S74" i="70"/>
  <c r="S76" i="70"/>
  <c r="S56" i="70"/>
  <c r="D46" i="70" s="1"/>
  <c r="R77" i="70"/>
  <c r="R57" i="70"/>
  <c r="R39" i="71"/>
  <c r="R15" i="71"/>
  <c r="R34" i="71"/>
  <c r="R14" i="71"/>
  <c r="R35" i="71"/>
  <c r="R16" i="71"/>
  <c r="R274" i="71" s="1"/>
  <c r="R17" i="71"/>
  <c r="R275" i="71" s="1"/>
  <c r="R18" i="71"/>
  <c r="R276" i="71" s="1"/>
  <c r="R36" i="71"/>
  <c r="R294" i="71" s="1"/>
  <c r="R37" i="71"/>
  <c r="R295" i="71" s="1"/>
  <c r="R19" i="71"/>
  <c r="R277" i="71" s="1"/>
  <c r="R38" i="71"/>
  <c r="R296" i="71" s="1"/>
  <c r="S38" i="71"/>
  <c r="S39" i="71"/>
  <c r="S16" i="71"/>
  <c r="S15" i="71"/>
  <c r="S34" i="71"/>
  <c r="S14" i="71"/>
  <c r="S35" i="71"/>
  <c r="S17" i="71"/>
  <c r="S36" i="71"/>
  <c r="S18" i="71"/>
  <c r="S19" i="71"/>
  <c r="S37" i="71"/>
  <c r="R67" i="56"/>
  <c r="R28" i="56"/>
  <c r="Q68" i="56"/>
  <c r="R24" i="58" s="1"/>
  <c r="S20" i="56"/>
  <c r="D6" i="56" s="1"/>
  <c r="S46" i="56"/>
  <c r="S47" i="56"/>
  <c r="D33" i="56" s="1"/>
  <c r="S25" i="56"/>
  <c r="D11" i="56" s="1"/>
  <c r="S50" i="56"/>
  <c r="D36" i="56" s="1"/>
  <c r="S48" i="56"/>
  <c r="D34" i="56" s="1"/>
  <c r="S55" i="56"/>
  <c r="D41" i="56" s="1"/>
  <c r="S54" i="56"/>
  <c r="D40" i="56" s="1"/>
  <c r="S27" i="56"/>
  <c r="D13" i="56" s="1"/>
  <c r="S23" i="56"/>
  <c r="D9" i="56" s="1"/>
  <c r="S49" i="56"/>
  <c r="D35" i="56" s="1"/>
  <c r="S52" i="56"/>
  <c r="D38" i="56" s="1"/>
  <c r="S26" i="56"/>
  <c r="D12" i="56" s="1"/>
  <c r="S53" i="56"/>
  <c r="D39" i="56" s="1"/>
  <c r="S51" i="56"/>
  <c r="D37" i="56" s="1"/>
  <c r="S24" i="56"/>
  <c r="D10" i="56" s="1"/>
  <c r="S18" i="56"/>
  <c r="S19" i="56"/>
  <c r="D5" i="56" s="1"/>
  <c r="S21" i="56"/>
  <c r="D7" i="56" s="1"/>
  <c r="S22" i="56"/>
  <c r="D8" i="56" s="1"/>
  <c r="R66" i="56"/>
  <c r="R56" i="56"/>
  <c r="Q292" i="71"/>
  <c r="Q298" i="71" s="1"/>
  <c r="Q40" i="71"/>
  <c r="Q272" i="71"/>
  <c r="Q278" i="71" s="1"/>
  <c r="Q20" i="71"/>
  <c r="R293" i="71"/>
  <c r="R297" i="71"/>
  <c r="R273" i="71"/>
  <c r="P49" i="71"/>
  <c r="P50" i="71" s="1"/>
  <c r="Q26" i="58" s="1"/>
  <c r="P64" i="71"/>
  <c r="P65" i="71" s="1"/>
  <c r="Q50" i="55"/>
  <c r="Q51" i="55"/>
  <c r="Q49" i="55"/>
  <c r="Q52" i="55"/>
  <c r="Q53" i="55"/>
  <c r="Q89" i="70"/>
  <c r="Q90" i="70" s="1"/>
  <c r="R25" i="58" s="1"/>
  <c r="M28" i="58"/>
  <c r="M32" i="58" s="1"/>
  <c r="M34" i="58" s="1"/>
  <c r="K40" i="17"/>
  <c r="L31" i="17"/>
  <c r="L32" i="17" s="1"/>
  <c r="D68" i="70"/>
  <c r="D45" i="70"/>
  <c r="D66" i="70"/>
  <c r="M27" i="17"/>
  <c r="M31" i="17" s="1"/>
  <c r="M32" i="17" s="1"/>
  <c r="N21" i="58"/>
  <c r="N35" i="58" s="1"/>
  <c r="Q92" i="55"/>
  <c r="O54" i="55"/>
  <c r="O23" i="58" s="1"/>
  <c r="Q90" i="55"/>
  <c r="R91" i="55"/>
  <c r="S87" i="55"/>
  <c r="S89" i="55" s="1"/>
  <c r="S28" i="17"/>
  <c r="D7" i="17" s="1"/>
  <c r="S119" i="24"/>
  <c r="S121" i="24" s="1"/>
  <c r="Q129" i="24"/>
  <c r="Q134" i="24"/>
  <c r="Q123" i="24"/>
  <c r="Q133" i="24"/>
  <c r="Q132" i="24"/>
  <c r="Q126" i="24"/>
  <c r="Q131" i="24"/>
  <c r="Q130" i="24"/>
  <c r="Q127" i="24"/>
  <c r="O71" i="24"/>
  <c r="Q124" i="24"/>
  <c r="N78" i="24"/>
  <c r="P207" i="24"/>
  <c r="P45" i="24" s="1"/>
  <c r="P52" i="24" s="1"/>
  <c r="Q122" i="24"/>
  <c r="P171" i="24"/>
  <c r="P19" i="24" s="1"/>
  <c r="P26" i="24" s="1"/>
  <c r="R155" i="24"/>
  <c r="R191" i="24" s="1"/>
  <c r="Q125" i="24"/>
  <c r="Q128" i="24"/>
  <c r="R68" i="56" l="1"/>
  <c r="S24" i="58" s="1"/>
  <c r="D47" i="70"/>
  <c r="D49" i="70"/>
  <c r="D67" i="70"/>
  <c r="R60" i="70"/>
  <c r="R80" i="70"/>
  <c r="S67" i="56"/>
  <c r="D61" i="56" s="1"/>
  <c r="S66" i="56"/>
  <c r="S56" i="56"/>
  <c r="D42" i="56" s="1"/>
  <c r="D72" i="56" s="1"/>
  <c r="D32" i="56"/>
  <c r="S28" i="56"/>
  <c r="D14" i="56" s="1"/>
  <c r="D71" i="56" s="1"/>
  <c r="D4" i="56"/>
  <c r="S295" i="71"/>
  <c r="D285" i="71" s="1"/>
  <c r="D27" i="71"/>
  <c r="S293" i="71"/>
  <c r="D283" i="71" s="1"/>
  <c r="D25" i="71"/>
  <c r="R292" i="71"/>
  <c r="R298" i="71" s="1"/>
  <c r="R40" i="71"/>
  <c r="S273" i="71"/>
  <c r="D263" i="71" s="1"/>
  <c r="D5" i="71"/>
  <c r="S276" i="71"/>
  <c r="D266" i="71" s="1"/>
  <c r="D8" i="71"/>
  <c r="S277" i="71"/>
  <c r="D267" i="71" s="1"/>
  <c r="D9" i="71"/>
  <c r="S272" i="71"/>
  <c r="S20" i="71"/>
  <c r="D4" i="71"/>
  <c r="S274" i="71"/>
  <c r="D264" i="71" s="1"/>
  <c r="D6" i="71"/>
  <c r="S294" i="71"/>
  <c r="D284" i="71" s="1"/>
  <c r="D26" i="71"/>
  <c r="S296" i="71"/>
  <c r="D286" i="71" s="1"/>
  <c r="D28" i="71"/>
  <c r="S292" i="71"/>
  <c r="S40" i="71"/>
  <c r="D24" i="71"/>
  <c r="R272" i="71"/>
  <c r="R278" i="71" s="1"/>
  <c r="R20" i="71"/>
  <c r="S275" i="71"/>
  <c r="D265" i="71" s="1"/>
  <c r="D7" i="71"/>
  <c r="Q49" i="71"/>
  <c r="Q50" i="71" s="1"/>
  <c r="R26" i="58" s="1"/>
  <c r="S297" i="71"/>
  <c r="D287" i="71" s="1"/>
  <c r="D29" i="71"/>
  <c r="Q64" i="71"/>
  <c r="Q65" i="71" s="1"/>
  <c r="R49" i="55"/>
  <c r="R50" i="55"/>
  <c r="R53" i="55"/>
  <c r="R51" i="55"/>
  <c r="R52" i="55"/>
  <c r="R90" i="55"/>
  <c r="S80" i="70"/>
  <c r="S60" i="70"/>
  <c r="P54" i="55"/>
  <c r="P23" i="58" s="1"/>
  <c r="L34" i="17"/>
  <c r="L40" i="17" s="1"/>
  <c r="M43" i="17"/>
  <c r="N28" i="58"/>
  <c r="N32" i="58" s="1"/>
  <c r="N34" i="58" s="1"/>
  <c r="D64" i="70"/>
  <c r="N27" i="17"/>
  <c r="N31" i="17" s="1"/>
  <c r="N32" i="17" s="1"/>
  <c r="O21" i="58"/>
  <c r="O35" i="58" s="1"/>
  <c r="D44" i="70"/>
  <c r="R92" i="55"/>
  <c r="S91" i="55"/>
  <c r="T87" i="55"/>
  <c r="T89" i="55" s="1"/>
  <c r="M34" i="17"/>
  <c r="M40" i="17" s="1"/>
  <c r="S155" i="24"/>
  <c r="S191" i="24" s="1"/>
  <c r="D78" i="53"/>
  <c r="D91" i="53" s="1"/>
  <c r="D59" i="24"/>
  <c r="R123" i="24"/>
  <c r="R131" i="24"/>
  <c r="R126" i="24"/>
  <c r="S126" i="24" s="1"/>
  <c r="R124" i="24"/>
  <c r="R127" i="24"/>
  <c r="S127" i="24" s="1"/>
  <c r="R134" i="24"/>
  <c r="R128" i="24"/>
  <c r="R132" i="24"/>
  <c r="R133" i="24"/>
  <c r="P71" i="24"/>
  <c r="Q207" i="24"/>
  <c r="Q45" i="24" s="1"/>
  <c r="Q52" i="24" s="1"/>
  <c r="R122" i="24"/>
  <c r="Q171" i="24"/>
  <c r="Q19" i="24" s="1"/>
  <c r="Q26" i="24" s="1"/>
  <c r="R129" i="24"/>
  <c r="S129" i="24" s="1"/>
  <c r="O78" i="24"/>
  <c r="R125" i="24"/>
  <c r="S125" i="24" s="1"/>
  <c r="R130" i="24"/>
  <c r="S130" i="24" s="1"/>
  <c r="D50" i="70" l="1"/>
  <c r="D93" i="70" s="1"/>
  <c r="R89" i="70"/>
  <c r="R90" i="70" s="1"/>
  <c r="S25" i="58" s="1"/>
  <c r="D70" i="70"/>
  <c r="D94" i="70" s="1"/>
  <c r="D262" i="71"/>
  <c r="D60" i="56"/>
  <c r="S68" i="56"/>
  <c r="D10" i="71"/>
  <c r="D53" i="71" s="1"/>
  <c r="S49" i="71"/>
  <c r="D30" i="71"/>
  <c r="D54" i="71" s="1"/>
  <c r="S298" i="71"/>
  <c r="D282" i="71"/>
  <c r="R49" i="71"/>
  <c r="R50" i="71" s="1"/>
  <c r="S26" i="58" s="1"/>
  <c r="S278" i="71"/>
  <c r="D268" i="71" s="1"/>
  <c r="R64" i="71"/>
  <c r="R65" i="71" s="1"/>
  <c r="S51" i="55"/>
  <c r="S49" i="55"/>
  <c r="S53" i="55"/>
  <c r="S52" i="55"/>
  <c r="S50" i="55"/>
  <c r="S89" i="70"/>
  <c r="S90" i="70" s="1"/>
  <c r="N43" i="17"/>
  <c r="O28" i="58"/>
  <c r="O32" i="58" s="1"/>
  <c r="O34" i="58" s="1"/>
  <c r="Q54" i="55"/>
  <c r="Q23" i="58" s="1"/>
  <c r="O27" i="17"/>
  <c r="O31" i="17" s="1"/>
  <c r="O32" i="17" s="1"/>
  <c r="P21" i="58"/>
  <c r="P35" i="58" s="1"/>
  <c r="S92" i="55"/>
  <c r="S90" i="55"/>
  <c r="T90" i="55" s="1"/>
  <c r="T91" i="55"/>
  <c r="N34" i="17"/>
  <c r="N40" i="17" s="1"/>
  <c r="S128" i="24"/>
  <c r="S124" i="24"/>
  <c r="S133" i="24"/>
  <c r="S131" i="24"/>
  <c r="S132" i="24"/>
  <c r="S123" i="24"/>
  <c r="S134" i="24"/>
  <c r="Q71" i="24"/>
  <c r="P78" i="24"/>
  <c r="R171" i="24"/>
  <c r="R19" i="24" s="1"/>
  <c r="R26" i="24" s="1"/>
  <c r="R207" i="24"/>
  <c r="R45" i="24" s="1"/>
  <c r="R52" i="24" s="1"/>
  <c r="S122" i="24"/>
  <c r="T24" i="58" l="1"/>
  <c r="D7" i="58" s="1"/>
  <c r="D62" i="56"/>
  <c r="D73" i="56" s="1"/>
  <c r="S64" i="71"/>
  <c r="D288" i="71"/>
  <c r="S50" i="71"/>
  <c r="D44" i="71"/>
  <c r="D84" i="70"/>
  <c r="T49" i="55"/>
  <c r="T51" i="55"/>
  <c r="E42" i="55" s="1"/>
  <c r="T50" i="55"/>
  <c r="T53" i="55"/>
  <c r="T52" i="55"/>
  <c r="O43" i="17"/>
  <c r="P28" i="58"/>
  <c r="P32" i="58" s="1"/>
  <c r="P34" i="58" s="1"/>
  <c r="T25" i="58"/>
  <c r="D8" i="58" s="1"/>
  <c r="D85" i="70"/>
  <c r="D95" i="70" s="1"/>
  <c r="P27" i="17"/>
  <c r="P31" i="17" s="1"/>
  <c r="P32" i="17" s="1"/>
  <c r="Q21" i="58"/>
  <c r="Q35" i="58" s="1"/>
  <c r="T92" i="55"/>
  <c r="R54" i="55"/>
  <c r="R23" i="58" s="1"/>
  <c r="O34" i="17"/>
  <c r="O40" i="17" s="1"/>
  <c r="R71" i="24"/>
  <c r="S19" i="24"/>
  <c r="S26" i="24" s="1"/>
  <c r="S45" i="24"/>
  <c r="S52" i="24" s="1"/>
  <c r="Q78" i="24"/>
  <c r="T26" i="58" l="1"/>
  <c r="D9" i="58" s="1"/>
  <c r="D45" i="71"/>
  <c r="D55" i="71" s="1"/>
  <c r="S65" i="71"/>
  <c r="D60" i="71" s="1"/>
  <c r="D59" i="71"/>
  <c r="Q28" i="58"/>
  <c r="Q32" i="58" s="1"/>
  <c r="Q34" i="58" s="1"/>
  <c r="P43" i="17"/>
  <c r="Q27" i="17"/>
  <c r="Q31" i="17" s="1"/>
  <c r="Q32" i="17" s="1"/>
  <c r="R21" i="58"/>
  <c r="R35" i="58" s="1"/>
  <c r="E41" i="55"/>
  <c r="E44" i="55"/>
  <c r="E43" i="55"/>
  <c r="S54" i="55"/>
  <c r="S23" i="58" s="1"/>
  <c r="P34" i="17"/>
  <c r="P40" i="17" s="1"/>
  <c r="R78" i="24"/>
  <c r="D39" i="24"/>
  <c r="D81" i="24" s="1"/>
  <c r="D32" i="24"/>
  <c r="S71" i="24"/>
  <c r="D6" i="24"/>
  <c r="R28" i="58" l="1"/>
  <c r="R32" i="58" s="1"/>
  <c r="R34" i="58" s="1"/>
  <c r="Q43" i="17"/>
  <c r="R27" i="17"/>
  <c r="R31" i="17" s="1"/>
  <c r="R32" i="17" s="1"/>
  <c r="S21" i="58"/>
  <c r="S35" i="58" s="1"/>
  <c r="E40" i="55"/>
  <c r="T54" i="55"/>
  <c r="T23" i="58" s="1"/>
  <c r="D6" i="58" s="1"/>
  <c r="Q34" i="17"/>
  <c r="Q40" i="17" s="1"/>
  <c r="S78" i="24"/>
  <c r="T21" i="58" s="1"/>
  <c r="D13" i="24"/>
  <c r="D80" i="24" s="1"/>
  <c r="D58" i="24"/>
  <c r="T35" i="58" l="1"/>
  <c r="D4" i="58"/>
  <c r="R43" i="17"/>
  <c r="S28" i="58"/>
  <c r="S32" i="58" s="1"/>
  <c r="S34" i="58" s="1"/>
  <c r="E45" i="55"/>
  <c r="E56" i="55" s="1"/>
  <c r="D65" i="24"/>
  <c r="D82" i="24" s="1"/>
  <c r="S27" i="17"/>
  <c r="D6" i="17" s="1"/>
  <c r="R34" i="17"/>
  <c r="R40" i="17" s="1"/>
  <c r="T28" i="58"/>
  <c r="I47" i="6" l="1"/>
  <c r="D11" i="58"/>
  <c r="S43" i="17"/>
  <c r="D46" i="6" s="1"/>
  <c r="D47" i="6" s="1"/>
  <c r="S30" i="17" s="1"/>
  <c r="R9" i="17"/>
  <c r="S9" i="17"/>
  <c r="I46" i="6"/>
  <c r="D50" i="6" l="1"/>
  <c r="D51" i="6" s="1"/>
  <c r="R10" i="17"/>
  <c r="R11" i="17" s="1"/>
  <c r="S10" i="17"/>
  <c r="S11" i="17" s="1"/>
  <c r="D9" i="17"/>
  <c r="D10" i="17" s="1"/>
  <c r="S31" i="17"/>
  <c r="S32" i="17" s="1"/>
  <c r="E46" i="17" l="1"/>
  <c r="G46" i="17" s="1"/>
  <c r="S13" i="17"/>
  <c r="S34" i="17"/>
  <c r="S40" i="17" s="1"/>
  <c r="R13" i="17"/>
  <c r="R19" i="17" s="1"/>
  <c r="R20" i="17" s="1"/>
  <c r="E47" i="17"/>
  <c r="E48" i="17" l="1"/>
  <c r="G48" i="17" s="1"/>
  <c r="S19" i="17"/>
  <c r="S20" i="17" s="1"/>
  <c r="E49" i="17"/>
  <c r="R21" i="17"/>
  <c r="S21" i="17" l="1"/>
  <c r="E41" i="17"/>
  <c r="T13" i="58"/>
  <c r="T14" i="58" s="1"/>
  <c r="S13" i="58"/>
  <c r="S14" i="58" s="1"/>
  <c r="S15" i="58" s="1"/>
  <c r="S17" i="58" s="1"/>
  <c r="T15" i="58" l="1"/>
  <c r="E42" i="17"/>
  <c r="F41" i="17"/>
  <c r="I48" i="6"/>
  <c r="I50" i="6" s="1"/>
  <c r="I51" i="6" s="1"/>
  <c r="T17" i="58" l="1"/>
  <c r="F42" i="17"/>
  <c r="G41" i="17"/>
  <c r="T30" i="58"/>
  <c r="F38" i="58" s="1"/>
  <c r="G42" i="17" l="1"/>
  <c r="H41" i="17"/>
  <c r="D13" i="58"/>
  <c r="T31" i="58"/>
  <c r="T32" i="58" l="1"/>
  <c r="D14" i="58"/>
  <c r="H42" i="17"/>
  <c r="I41" i="17"/>
  <c r="T34" i="58" l="1"/>
  <c r="F37" i="58" s="1"/>
  <c r="F36" i="58"/>
  <c r="D15" i="58"/>
  <c r="I42" i="17"/>
  <c r="J41" i="17"/>
  <c r="D17" i="58" l="1"/>
  <c r="J42" i="17"/>
  <c r="K41" i="17"/>
  <c r="K42" i="17" l="1"/>
  <c r="L41" i="17"/>
  <c r="L42" i="17" l="1"/>
  <c r="M41" i="17"/>
  <c r="M42" i="17" l="1"/>
  <c r="N41" i="17"/>
  <c r="N42" i="17" l="1"/>
  <c r="O41" i="17"/>
  <c r="O42" i="17" l="1"/>
  <c r="P41" i="17"/>
  <c r="P42" i="17" l="1"/>
  <c r="Q41" i="17"/>
  <c r="Q42" i="17" l="1"/>
  <c r="R41" i="17"/>
  <c r="R42" i="17" l="1"/>
  <c r="S41" i="17"/>
  <c r="S42" i="17" s="1"/>
  <c r="E50" i="17" l="1"/>
  <c r="G50" i="1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Večeřa</author>
  </authors>
  <commentList>
    <comment ref="J18" authorId="0" shapeId="0" xr:uid="{00000000-0006-0000-0000-000001000000}">
      <text>
        <r>
          <rPr>
            <sz val="9"/>
            <color indexed="81"/>
            <rFont val="Tahoma"/>
            <family val="2"/>
            <charset val="238"/>
          </rPr>
          <t>Maximálně 30 let
(Maximum 30 years)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Ing. Dominik Žďánský</author>
  </authors>
  <commentList>
    <comment ref="C51" authorId="0" shapeId="0" xr:uid="{00000000-0006-0000-0100-000002000000}">
      <text>
        <r>
          <rPr>
            <sz val="9"/>
            <color indexed="81"/>
            <rFont val="Tahoma"/>
            <family val="2"/>
            <charset val="238"/>
          </rPr>
          <t>DPH se může měnit v čase. V případě potřeby se může DPH upravit dle skutečnosti.
(VAT varies in time. If necessary, VAT may be set according to reality.)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Večeřa Martin Ing. Ph.D.</author>
    <author>Vecera Martin, Ing.</author>
  </authors>
  <commentList>
    <comment ref="C7" authorId="0" shapeId="0" xr:uid="{9D7724B8-7319-4756-B049-F31A0271E0BF}">
      <text>
        <r>
          <rPr>
            <sz val="9"/>
            <color indexed="81"/>
            <rFont val="Tahoma"/>
            <family val="2"/>
            <charset val="238"/>
          </rPr>
          <t>Nevyplňovat v případě samostatně zpracovávané ekonomické analýzy silničních projektů, kdy se zároveň používá list 'Vstupy z HDM-4 a EXNAD' a v případě městských a jiných projektů zařazených do kategorie "OSTATNÍ"
Do not fill in in case of separately processed economic analysis of road projects, which also uses the sheet 'Vstupy z HDM-4 a EXNAD' and in the case of urban and other projects classified in the category 'OSTATNÍ'</t>
        </r>
      </text>
    </comment>
    <comment ref="C33" authorId="0" shapeId="0" xr:uid="{2EC3CB3F-2B56-4B3D-BB21-511B30D86BBC}">
      <text>
        <r>
          <rPr>
            <sz val="9"/>
            <color indexed="81"/>
            <rFont val="Tahoma"/>
            <family val="2"/>
            <charset val="238"/>
          </rPr>
          <t>Nevyplňovat v případě silničních projektů, kdy se používá list 'Vstupy z HDM-4 a EXNAD'
Do not fill in in case of road infrastructure, when list 'Vstupy z HDM-4 a EXNAD' is used</t>
        </r>
      </text>
    </comment>
    <comment ref="C34" authorId="0" shapeId="0" xr:uid="{246E0E22-C562-4241-8632-C01F0D13E942}">
      <text>
        <r>
          <rPr>
            <sz val="9"/>
            <color indexed="81"/>
            <rFont val="Tahoma"/>
            <family val="2"/>
            <charset val="238"/>
          </rPr>
          <t>Nevyplňovat v případě silničních projektů, kdy se používá list 'Vstupy z HDM-4 a EXNAD'
Do not fill in in case of road infrastructure, when list 'Vstupy z HDM-4 a EXNAD' is used</t>
        </r>
      </text>
    </comment>
    <comment ref="C88" authorId="1" shapeId="0" xr:uid="{00000000-0006-0000-0300-000005000000}">
      <text>
        <r>
          <rPr>
            <b/>
            <sz val="8"/>
            <color indexed="81"/>
            <rFont val="Tahoma"/>
            <family val="2"/>
            <charset val="238"/>
          </rPr>
          <t>= dispečer (v rámci CDP)
= dispatcher (within central control room)</t>
        </r>
        <r>
          <rPr>
            <sz val="8"/>
            <color indexed="81"/>
            <rFont val="Tahoma"/>
            <family val="2"/>
            <charset val="238"/>
          </rPr>
          <t xml:space="preserve">
</t>
        </r>
      </text>
    </comment>
    <comment ref="C153" authorId="1" shapeId="0" xr:uid="{00000000-0006-0000-0300-000006000000}">
      <text>
        <r>
          <rPr>
            <sz val="8"/>
            <color indexed="81"/>
            <rFont val="Tahoma"/>
            <family val="2"/>
            <charset val="238"/>
          </rPr>
          <t xml:space="preserve">V případě </t>
        </r>
        <r>
          <rPr>
            <b/>
            <sz val="8"/>
            <color indexed="81"/>
            <rFont val="Tahoma"/>
            <family val="2"/>
            <charset val="238"/>
          </rPr>
          <t xml:space="preserve">přesunu zaměstnanců na jinou pozici a v posledním roce hodnocení </t>
        </r>
        <r>
          <rPr>
            <sz val="8"/>
            <color indexed="81"/>
            <rFont val="Tahoma"/>
            <family val="2"/>
            <charset val="238"/>
          </rPr>
          <t>nutno v příslušném roce upravit vzorec!</t>
        </r>
      </text>
    </comment>
    <comment ref="C189" authorId="1" shapeId="0" xr:uid="{00000000-0006-0000-0300-000007000000}">
      <text>
        <r>
          <rPr>
            <sz val="8"/>
            <color indexed="81"/>
            <rFont val="Tahoma"/>
            <family val="2"/>
            <charset val="238"/>
          </rPr>
          <t xml:space="preserve">V případě </t>
        </r>
        <r>
          <rPr>
            <b/>
            <sz val="8"/>
            <color indexed="81"/>
            <rFont val="Tahoma"/>
            <family val="2"/>
            <charset val="238"/>
          </rPr>
          <t xml:space="preserve">přesunu zaměstnanců na jinou pozici a v posledním roce hodnocení </t>
        </r>
        <r>
          <rPr>
            <sz val="8"/>
            <color indexed="81"/>
            <rFont val="Tahoma"/>
            <family val="2"/>
            <charset val="238"/>
          </rPr>
          <t>nutno výpočet v příslušném roce upravit vzorec!</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E164" authorId="0" shapeId="0" xr:uid="{C27EA45E-C0C6-48A8-AC15-55D19E0E0C0D}">
      <text>
        <r>
          <rPr>
            <sz val="9"/>
            <color indexed="81"/>
            <rFont val="Tahoma"/>
            <family val="2"/>
          </rPr>
          <t xml:space="preserve">upraveno dle https://www.mpo.cz/cz/energetika/statistika/elektrina-a-teplo/emisni-faktor-co2-z-vyroby-elektriny-za-leta-2010_2021--260559/
</t>
        </r>
      </text>
    </comment>
    <comment ref="F164" authorId="0" shapeId="0" xr:uid="{44BDB8C3-A566-4EEF-B12D-91FAB86FB003}">
      <text>
        <r>
          <rPr>
            <sz val="9"/>
            <color indexed="81"/>
            <rFont val="Tahoma"/>
            <family val="2"/>
          </rPr>
          <t>přepočet dle emisí CO2, 1 kWh = 461 g CO2 (viz doplnění resortní metodiky, s. 18)</t>
        </r>
        <r>
          <rPr>
            <sz val="9"/>
            <color indexed="81"/>
            <rFont val="Tahoma"/>
            <family val="2"/>
          </rPr>
          <t xml:space="preserve">
</t>
        </r>
      </text>
    </comment>
    <comment ref="D185" authorId="0" shapeId="0" xr:uid="{25B872A7-8F6E-425B-BE06-B629FA56ACDB}">
      <text>
        <r>
          <rPr>
            <sz val="9"/>
            <color indexed="81"/>
            <rFont val="Tahoma"/>
            <family val="2"/>
          </rPr>
          <t>přepočet dle emisí CO2, 1 kWh = 461 g CO2 (viz doplnění resortní metodiky, s. 18)</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admin</author>
    <author>Čermák Jiří, Ing.</author>
  </authors>
  <commentList>
    <comment ref="E143" authorId="0" shapeId="0" xr:uid="{F643688D-8E02-45A4-8C0E-83611735BF0F}">
      <text>
        <r>
          <rPr>
            <sz val="9"/>
            <color indexed="81"/>
            <rFont val="Tahoma"/>
            <family val="2"/>
          </rPr>
          <t xml:space="preserve">upraveno dle https://www.mpo.cz/cz/energetika/statistika/elektrina-a-teplo/emisni-faktor-co2-z-vyroby-elektriny-za-leta-2010_2021--260559/
</t>
        </r>
      </text>
    </comment>
    <comment ref="F143" authorId="0" shapeId="0" xr:uid="{87A8D927-73A2-487F-9AB2-D7C11B62B841}">
      <text>
        <r>
          <rPr>
            <sz val="9"/>
            <color indexed="81"/>
            <rFont val="Tahoma"/>
            <family val="2"/>
          </rPr>
          <t>přepočet dle emisí CO2, 1 kWh = 461 g CO2 (viz doplnění resortní metodiky, s. 18)</t>
        </r>
        <r>
          <rPr>
            <sz val="9"/>
            <color indexed="81"/>
            <rFont val="Tahoma"/>
            <family val="2"/>
          </rPr>
          <t xml:space="preserve">
</t>
        </r>
      </text>
    </comment>
    <comment ref="D164" authorId="0" shapeId="0" xr:uid="{E3B23807-25A7-48F5-BD18-0F61F487A34C}">
      <text>
        <r>
          <rPr>
            <sz val="9"/>
            <color indexed="81"/>
            <rFont val="Tahoma"/>
            <family val="2"/>
          </rPr>
          <t>přepočet dle emisí CO2, 1 kWh = 461 g CO2 (viz doplnění resortní metodiky, s. 18)</t>
        </r>
        <r>
          <rPr>
            <sz val="9"/>
            <color indexed="81"/>
            <rFont val="Tahoma"/>
            <family val="2"/>
          </rPr>
          <t xml:space="preserve">
</t>
        </r>
      </text>
    </comment>
    <comment ref="C198" authorId="1" shapeId="0" xr:uid="{46135FA9-14EF-410F-A293-20B4A93F0EBE}">
      <text>
        <r>
          <rPr>
            <b/>
            <sz val="9"/>
            <color indexed="81"/>
            <rFont val="Tahoma"/>
            <family val="2"/>
            <charset val="238"/>
          </rPr>
          <t>% vyjadřuje snížení zastoupení spalovacích motorů (zbývající vozidla jsou uvažována jako bezemisní)/ % means lower share of combustion engines (the remaining vehicles are considered emission-free)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Večeřa Martin Ing. Ph.D.</author>
  </authors>
  <commentList>
    <comment ref="E4" authorId="0" shapeId="0" xr:uid="{00000000-0006-0000-0C00-000002000000}">
      <text>
        <r>
          <rPr>
            <sz val="9"/>
            <color indexed="81"/>
            <rFont val="Tahoma"/>
            <family val="2"/>
            <charset val="238"/>
          </rPr>
          <t>Průměrný konverzní faktor železniční a silniční infrastruktury
(Average conversion factor for rail and road infrastructure)</t>
        </r>
      </text>
    </comment>
  </commentList>
</comments>
</file>

<file path=xl/sharedStrings.xml><?xml version="1.0" encoding="utf-8"?>
<sst xmlns="http://schemas.openxmlformats.org/spreadsheetml/2006/main" count="2326" uniqueCount="1629">
  <si>
    <t xml:space="preserve">Česky </t>
  </si>
  <si>
    <t>*</t>
  </si>
  <si>
    <t xml:space="preserve"> </t>
  </si>
  <si>
    <t>1.1.</t>
  </si>
  <si>
    <t>a</t>
  </si>
  <si>
    <t>b</t>
  </si>
  <si>
    <t>1.2.</t>
  </si>
  <si>
    <t>2.1.</t>
  </si>
  <si>
    <t>2.2.</t>
  </si>
  <si>
    <t>2.3. a</t>
  </si>
  <si>
    <t>2.3. b</t>
  </si>
  <si>
    <t>2.4. a</t>
  </si>
  <si>
    <t>2.4. b</t>
  </si>
  <si>
    <t>3.1.</t>
  </si>
  <si>
    <t>3.2.</t>
  </si>
  <si>
    <t>3.3.</t>
  </si>
  <si>
    <t>3.4.</t>
  </si>
  <si>
    <t>3.5.</t>
  </si>
  <si>
    <t>3.6.</t>
  </si>
  <si>
    <t>3.7.</t>
  </si>
  <si>
    <t>4.1.</t>
  </si>
  <si>
    <t>4.2.</t>
  </si>
  <si>
    <t>4.3.</t>
  </si>
  <si>
    <t>5.1.</t>
  </si>
  <si>
    <t>5.2.</t>
  </si>
  <si>
    <t>LNV</t>
  </si>
  <si>
    <t>TNV</t>
  </si>
  <si>
    <t>6.1.</t>
  </si>
  <si>
    <t>6.2.</t>
  </si>
  <si>
    <t>6.3.</t>
  </si>
  <si>
    <t>55 - 59</t>
  </si>
  <si>
    <t>60 - 64</t>
  </si>
  <si>
    <t>65 - 69</t>
  </si>
  <si>
    <t>70 - 74</t>
  </si>
  <si>
    <t>75 - 79</t>
  </si>
  <si>
    <r>
      <t>CO</t>
    </r>
    <r>
      <rPr>
        <b/>
        <vertAlign val="subscript"/>
        <sz val="9"/>
        <rFont val="Century Gothic"/>
        <family val="2"/>
        <charset val="238"/>
      </rPr>
      <t>2</t>
    </r>
    <r>
      <rPr>
        <b/>
        <sz val="9"/>
        <rFont val="Century Gothic"/>
        <family val="2"/>
        <charset val="238"/>
      </rPr>
      <t>*</t>
    </r>
  </si>
  <si>
    <r>
      <t>NO</t>
    </r>
    <r>
      <rPr>
        <b/>
        <vertAlign val="subscript"/>
        <sz val="9"/>
        <rFont val="Century Gothic"/>
        <family val="2"/>
        <charset val="238"/>
      </rPr>
      <t>x</t>
    </r>
  </si>
  <si>
    <r>
      <t>SO</t>
    </r>
    <r>
      <rPr>
        <b/>
        <vertAlign val="subscript"/>
        <sz val="9"/>
        <rFont val="Century Gothic"/>
        <family val="2"/>
        <charset val="238"/>
      </rPr>
      <t>2</t>
    </r>
  </si>
  <si>
    <t>NM VOC</t>
  </si>
  <si>
    <r>
      <t>PM</t>
    </r>
    <r>
      <rPr>
        <b/>
        <vertAlign val="subscript"/>
        <sz val="9"/>
        <rFont val="Century Gothic"/>
        <family val="2"/>
        <charset val="238"/>
      </rPr>
      <t>2,5</t>
    </r>
  </si>
  <si>
    <r>
      <t>PM</t>
    </r>
    <r>
      <rPr>
        <b/>
        <vertAlign val="subscript"/>
        <sz val="9"/>
        <rFont val="Century Gothic"/>
        <family val="2"/>
        <charset val="238"/>
      </rPr>
      <t>10</t>
    </r>
  </si>
  <si>
    <t>CZK/t</t>
  </si>
  <si>
    <r>
      <t>CO</t>
    </r>
    <r>
      <rPr>
        <b/>
        <vertAlign val="subscript"/>
        <sz val="9"/>
        <rFont val="Century Gothic"/>
        <family val="2"/>
        <charset val="238"/>
      </rPr>
      <t>2</t>
    </r>
  </si>
  <si>
    <t>7.1.</t>
  </si>
  <si>
    <t>8.4.</t>
  </si>
  <si>
    <t>8.5.</t>
  </si>
  <si>
    <t>9.1.</t>
  </si>
  <si>
    <t>9.2.</t>
  </si>
  <si>
    <t>PN infrastruktury</t>
  </si>
  <si>
    <t>PN vozidel</t>
  </si>
  <si>
    <t>ŽELEZNIČNÍ</t>
  </si>
  <si>
    <t>SILNIČNÍ</t>
  </si>
  <si>
    <t>VODNÍ</t>
  </si>
  <si>
    <t>OSTATNÍ</t>
  </si>
  <si>
    <t>MHD</t>
  </si>
  <si>
    <t>MHD (vč. MĚSTSKÝ BUS)</t>
  </si>
  <si>
    <t>11.1.</t>
  </si>
  <si>
    <t>11.2.</t>
  </si>
  <si>
    <t>11.3.</t>
  </si>
  <si>
    <t>KF</t>
  </si>
  <si>
    <t>Celkem</t>
  </si>
  <si>
    <t>pořadí</t>
  </si>
  <si>
    <t>English</t>
  </si>
  <si>
    <t>verze</t>
  </si>
  <si>
    <t>1.10</t>
  </si>
  <si>
    <t>Jazyk</t>
  </si>
  <si>
    <t>Language</t>
  </si>
  <si>
    <t>Úvod</t>
  </si>
  <si>
    <t>Introduction</t>
  </si>
  <si>
    <t>Základní informace</t>
  </si>
  <si>
    <t>General information</t>
  </si>
  <si>
    <t>This simple financial model forms a part of the Departmental Guideline for the Evaluation of Economic Effectiveness of Transport Construction Projects (MoT CR, 2017) and serves for preparation and presentation of outputs of economic evaluation of Czech transport infrastructure projects. The model is based on analysis of revenue and costs and is in full compliance with the Commission Regulation (EU) 2015/207. 
Prepared by SUDOP PRAHA a.s. on the basis of original template by DG REGIO/F.2</t>
  </si>
  <si>
    <t>Název projektu</t>
  </si>
  <si>
    <t>Project name</t>
  </si>
  <si>
    <t>Diskontní sazba FA</t>
  </si>
  <si>
    <t>Discount rate FA</t>
  </si>
  <si>
    <t>Diskontní sazba</t>
  </si>
  <si>
    <t>Discount rate</t>
  </si>
  <si>
    <t>Cenová úroveň (CÚ)</t>
  </si>
  <si>
    <t>Price level (PL)</t>
  </si>
  <si>
    <t>finanční</t>
  </si>
  <si>
    <t>financial</t>
  </si>
  <si>
    <t>ekonomická</t>
  </si>
  <si>
    <t>economic</t>
  </si>
  <si>
    <t>Začátek stavebních prací</t>
  </si>
  <si>
    <t>Start of construction</t>
  </si>
  <si>
    <t>Začátek provozu</t>
  </si>
  <si>
    <t>Start of operation</t>
  </si>
  <si>
    <t>Doba hodnocení</t>
  </si>
  <si>
    <t>Appraisal duration</t>
  </si>
  <si>
    <t>Směnný kurz (CZK/EUR)</t>
  </si>
  <si>
    <t>Exchange rate (CZK/EUR)</t>
  </si>
  <si>
    <t>DPH</t>
  </si>
  <si>
    <t>VAT</t>
  </si>
  <si>
    <t>Hodnocené scénáře</t>
  </si>
  <si>
    <t>Evaluated scenarios</t>
  </si>
  <si>
    <t>BEZ PROJEKTU</t>
  </si>
  <si>
    <t xml:space="preserve">WITHOUT PROJECT  </t>
  </si>
  <si>
    <t>S PROJEKTEM</t>
  </si>
  <si>
    <t>WITH PROJECT</t>
  </si>
  <si>
    <t>Míra inflace</t>
  </si>
  <si>
    <t>Inflation rate</t>
  </si>
  <si>
    <t>rok</t>
  </si>
  <si>
    <t>year</t>
  </si>
  <si>
    <t>inflace</t>
  </si>
  <si>
    <t xml:space="preserve">inflation   </t>
  </si>
  <si>
    <t>Index cen stavebních prací</t>
  </si>
  <si>
    <t>Price index of construction works</t>
  </si>
  <si>
    <t>zdroj: Rezortní metodika pro hodnocení ekonomické efektivnosti projektů dopravních staveb (MD ČR, 2017); ČNB (Zpráva o měnové politice - zima 2022)</t>
  </si>
  <si>
    <t>zdroj: aktuálně platné opatření SFDI (č.j. 154/SFDI/320096/16105/2021)</t>
  </si>
  <si>
    <t>source: currently applicable NFTI measure (ref.no. 154/SFDI/320096/16105/2021)</t>
  </si>
  <si>
    <t>Source: The Departmental Guideline for the evaluation of economic effectiveness of transport construction projects (MoT CR, 2017); CNB (Monetary Policy Report – Winter 2022)</t>
  </si>
  <si>
    <t>Růst HDP na hlavu</t>
  </si>
  <si>
    <t>GDP growth per capita</t>
  </si>
  <si>
    <t>růst HDP</t>
  </si>
  <si>
    <t xml:space="preserve">GDP growth  </t>
  </si>
  <si>
    <t>Růst reálných mezd</t>
  </si>
  <si>
    <t>Real wage growth</t>
  </si>
  <si>
    <t>* pro další roky platí v souladu s Rezortní metodikou průměrná hodnota spočtená od roku 2010 do r. 2022, tzn. inflace = 2,49%, HDP = 1,95%, mzdy = 1,85%</t>
  </si>
  <si>
    <t>růst mezd</t>
  </si>
  <si>
    <t>wage growth</t>
  </si>
  <si>
    <t>* for the following years, the average value of preceeding values from 2010 to 2022 shall be valid in accordance with the Departmental Guideline, , ie. nflation = 2,49%, GDP = 1,95%, wages = 1,85%</t>
  </si>
  <si>
    <t>Vyplnit pouze žlutě podbarvené buňky!</t>
  </si>
  <si>
    <t>Fill only the yellow-coloured cells!</t>
  </si>
  <si>
    <t>1 CIN</t>
  </si>
  <si>
    <t>1 TIC</t>
  </si>
  <si>
    <t>Tabulky byly optimalizovány pro MS Excel 2010. Kompatibilita s předchozími verzemi MS Excel (obzvláště verzemi staršími než MS Excel 2007) není garantována (např. pokud jde o barevné rozlišení).</t>
  </si>
  <si>
    <t>Total Investment Costs (CZK) *</t>
  </si>
  <si>
    <t>The tables were optimized for MS Excel 2010. Compatibility with previous versions of MS Excel (in particular, with versions older than MS Excel 2007) cannot be guaranteed (e.g. regarding colour distinction).</t>
  </si>
  <si>
    <t>(konstantní ceny)</t>
  </si>
  <si>
    <t>(constant prices)</t>
  </si>
  <si>
    <t>CÚ</t>
  </si>
  <si>
    <t>PL</t>
  </si>
  <si>
    <t>Projektová dokumentace</t>
  </si>
  <si>
    <t>Design documentation</t>
  </si>
  <si>
    <t>Zábory a nákupy pozemků</t>
  </si>
  <si>
    <t>Appropriations and land purchase</t>
  </si>
  <si>
    <t>Stavby a konstrukce (stavební náklady)</t>
  </si>
  <si>
    <t>Buildings and structures (cost of construction)</t>
  </si>
  <si>
    <t>Stroje a zařízení</t>
  </si>
  <si>
    <t>Plant and machinery</t>
  </si>
  <si>
    <t>Technická asistence, propagace</t>
  </si>
  <si>
    <t>Technical assistance, promotion</t>
  </si>
  <si>
    <t>Technický dozor</t>
  </si>
  <si>
    <t>Technical supervision</t>
  </si>
  <si>
    <t>Total investment costs without reserve (constant prices)</t>
  </si>
  <si>
    <t>Rezerva</t>
  </si>
  <si>
    <t>Reserve</t>
  </si>
  <si>
    <t>Total investment costs with reserve (constant prices)</t>
  </si>
  <si>
    <t>Total investment costs inclusive of VAT (constant prices)</t>
  </si>
  <si>
    <t>Celkové projektové náklady</t>
  </si>
  <si>
    <t>Total project costs</t>
  </si>
  <si>
    <t>V roce</t>
  </si>
  <si>
    <t>In year</t>
  </si>
  <si>
    <t>Celkové investiční náklady (CZK)</t>
  </si>
  <si>
    <t xml:space="preserve">Total investment costs (CZK)  </t>
  </si>
  <si>
    <t>(běžné ceny)</t>
  </si>
  <si>
    <t>(ordinary prices)</t>
  </si>
  <si>
    <t>Způsobilost nákladů **</t>
  </si>
  <si>
    <t>Eligibility of costs **</t>
  </si>
  <si>
    <t>Poplatky za plány/stavební projekt</t>
  </si>
  <si>
    <t>Fees for design/construction project</t>
  </si>
  <si>
    <t>Nákup pozemků</t>
  </si>
  <si>
    <t>Land purchase</t>
  </si>
  <si>
    <t>Výstavba</t>
  </si>
  <si>
    <t>Construction</t>
  </si>
  <si>
    <t xml:space="preserve">Prostory a strojní zařízení nebo vybavení </t>
  </si>
  <si>
    <t>Premises and machinery or equipment</t>
  </si>
  <si>
    <t>Nepředvídané události</t>
  </si>
  <si>
    <t>Unforeseen events</t>
  </si>
  <si>
    <t>Úprava ceny (v příslušném případě)</t>
  </si>
  <si>
    <t>Modification of price (in relevant case)</t>
  </si>
  <si>
    <t>Propagace</t>
  </si>
  <si>
    <t>Promotion</t>
  </si>
  <si>
    <t>Dozor v průběhu provádění výstavby</t>
  </si>
  <si>
    <t>Supervision during the construction process</t>
  </si>
  <si>
    <t>Technická pomoc</t>
  </si>
  <si>
    <t xml:space="preserve">Technical assistance  </t>
  </si>
  <si>
    <t>Celkové investiční náklady (běžné ceny)</t>
  </si>
  <si>
    <t>Total investment costs (ordinary prices)</t>
  </si>
  <si>
    <t>Celkové invest. náklady vč. DPH (běžné ceny)</t>
  </si>
  <si>
    <t>Total invest. costs incl. VAT (ordinary prices)</t>
  </si>
  <si>
    <t>Nezpůsobilé náklady</t>
  </si>
  <si>
    <t>Ineligible costs</t>
  </si>
  <si>
    <t xml:space="preserve">**  jednotlivé položky odpovídají definici dle prováděcího Nařízení komise (EU) 2015/207 přílohy II, části C.1 </t>
  </si>
  <si>
    <t>Komentáře</t>
  </si>
  <si>
    <t>Comments</t>
  </si>
  <si>
    <t>** individual items correspond to the definition according to the Implemeting Commission Regulation (EU) 2015/207 annex II, part C.1</t>
  </si>
  <si>
    <t>*  v případě "souboru staveb" - celkové náklady se vztahují na celý projekt</t>
  </si>
  <si>
    <t xml:space="preserve">*  in case of "set of structures" - the total costs relate to the whole project </t>
  </si>
  <si>
    <t>2 ZH</t>
  </si>
  <si>
    <t>2 RV</t>
  </si>
  <si>
    <t>ŽELEZNIČNÍ A OSTATNÍ INFRASTRUKTURA*</t>
  </si>
  <si>
    <t>RAILWAY AND OTHER INFRASTRUCTURE*</t>
  </si>
  <si>
    <t>SILNIČNÍ INFRASTRUKTURA</t>
  </si>
  <si>
    <t>ROAD INFRASTRUCTURE</t>
  </si>
  <si>
    <t>VODNÍ INFRASTRUKTURA</t>
  </si>
  <si>
    <t>WATER INFRASTRUCTURE</t>
  </si>
  <si>
    <t>Životnost investice (roky)</t>
  </si>
  <si>
    <t>Investment lifetime (years)</t>
  </si>
  <si>
    <t>Zabezpečovací zařízení</t>
  </si>
  <si>
    <t>Signaling equipment</t>
  </si>
  <si>
    <t>Sdělovací zařízení</t>
  </si>
  <si>
    <t>Telecommunications equipment</t>
  </si>
  <si>
    <t>Silnoproudé rozvody a zařízení</t>
  </si>
  <si>
    <t>Heavy-current distribution lines and equipment</t>
  </si>
  <si>
    <t>Železniční svršek</t>
  </si>
  <si>
    <t>Superstructure</t>
  </si>
  <si>
    <t>Železniční spodek</t>
  </si>
  <si>
    <t>Substructure</t>
  </si>
  <si>
    <t>Pevná jízdní dráha</t>
  </si>
  <si>
    <t>Ballastless track</t>
  </si>
  <si>
    <t>Mosty, propustky, zdi</t>
  </si>
  <si>
    <t>Bridges, culverts, walls</t>
  </si>
  <si>
    <t>Tunely</t>
  </si>
  <si>
    <t>Tunnels</t>
  </si>
  <si>
    <t>Komunikace a zpevněné plochy</t>
  </si>
  <si>
    <t>Roads and hardened areas</t>
  </si>
  <si>
    <t>Trakce</t>
  </si>
  <si>
    <t>Traction</t>
  </si>
  <si>
    <t>Inženýrské sítě (trubní vedení, kabelovody)</t>
  </si>
  <si>
    <t>Utility networks (pipes, cables)</t>
  </si>
  <si>
    <t>Pozemní stavby, nástupiště a přístřešky</t>
  </si>
  <si>
    <t>Buildings, platforms and shelters</t>
  </si>
  <si>
    <t>Objekty ochrany životního prostředí</t>
  </si>
  <si>
    <t>Structures for environmental protection</t>
  </si>
  <si>
    <t>Obrusná vrstva - netuhé asfaltové</t>
  </si>
  <si>
    <t>Wearing course - non-rigid asphalt</t>
  </si>
  <si>
    <t>Obrusná vrstva - tuhé cementobetonové</t>
  </si>
  <si>
    <t>Wearing course - rigid cement-concrete</t>
  </si>
  <si>
    <t>Ložná vrstva - netuhé asfaltové</t>
  </si>
  <si>
    <t>Base course - non-rigid asphalt</t>
  </si>
  <si>
    <t>Podkladní vrstvy</t>
  </si>
  <si>
    <t>Base layers</t>
  </si>
  <si>
    <t>Inženýrské sítě a komunikace</t>
  </si>
  <si>
    <t>Utility networks and communications</t>
  </si>
  <si>
    <t>Odvodňovací zařízení</t>
  </si>
  <si>
    <t>Drainage equipment</t>
  </si>
  <si>
    <t>Zemní těleso</t>
  </si>
  <si>
    <t>Track bed</t>
  </si>
  <si>
    <t>Mosty</t>
  </si>
  <si>
    <t>Bridges</t>
  </si>
  <si>
    <t>Přístavní zdi</t>
  </si>
  <si>
    <t>Quaysides</t>
  </si>
  <si>
    <t>Hrubé hydrotechnické konstrukce**</t>
  </si>
  <si>
    <t>Rough hydro-technical structures**</t>
  </si>
  <si>
    <t>Ocelové konstrukce***</t>
  </si>
  <si>
    <t>Steel structures***</t>
  </si>
  <si>
    <t>Mosty, propustky, tunely a štoly</t>
  </si>
  <si>
    <t>Bridges, culverts, tunnels and shafts</t>
  </si>
  <si>
    <t>Pozemní stavby</t>
  </si>
  <si>
    <t>Buildings</t>
  </si>
  <si>
    <t>Silnoproudá instalace</t>
  </si>
  <si>
    <t>Heavy-current installations</t>
  </si>
  <si>
    <t>Slaboproudá instalace</t>
  </si>
  <si>
    <t>Light-current installations</t>
  </si>
  <si>
    <t>Inženýrské objekty (trubní vedení a kabelovody)</t>
  </si>
  <si>
    <t>Utility structures (pipes, cables)</t>
  </si>
  <si>
    <t>Úpravy vodní cesty a terénní úpravy</t>
  </si>
  <si>
    <t>Waterway modifications and landscaping</t>
  </si>
  <si>
    <t>Ochrana životního prostředí</t>
  </si>
  <si>
    <t>Environmental protection</t>
  </si>
  <si>
    <t>CELKEM</t>
  </si>
  <si>
    <t>TOTAL</t>
  </si>
  <si>
    <t>Náklady (CZK)</t>
  </si>
  <si>
    <t>Costs (CZK)</t>
  </si>
  <si>
    <t>Vážení</t>
  </si>
  <si>
    <t>Weighing</t>
  </si>
  <si>
    <t>Celková životnost investice (roky)</t>
  </si>
  <si>
    <t>Investment total lifetime (years)</t>
  </si>
  <si>
    <t>Životnost jednotlivých prvků dle dopravních módů</t>
  </si>
  <si>
    <t>Lifetime of individual elements by transport modes</t>
  </si>
  <si>
    <t>ekonomická životnost v letech</t>
  </si>
  <si>
    <t>economic lifetime in years</t>
  </si>
  <si>
    <t>*** např. vrata zdymadla, turbína a jiné</t>
  </si>
  <si>
    <t>***e.g. lock gate, turbine, etc.</t>
  </si>
  <si>
    <t>** hrubé hydrotechnické konstrukce jsou např. železobetonová konstrukce jezu, přehrady, vodní elektrárny konstrukce jezu, přehrady, vodní elektrárny nebo zdymadla</t>
  </si>
  <si>
    <t>Výpočet zůstatkové hodnoty pro FA</t>
  </si>
  <si>
    <t>Calculation of residual value for FA</t>
  </si>
  <si>
    <t>** rough hydro-technical structures are e.g. reinforced-concrete structures of a weir, dam, hydroelectric power plant, or lock</t>
  </si>
  <si>
    <t>Celková životnost investice</t>
  </si>
  <si>
    <t xml:space="preserve">Investment total lifetime  </t>
  </si>
  <si>
    <t>Délka provozní fáze hodnotícího období</t>
  </si>
  <si>
    <t>Length of operation phase of the evaluated period</t>
  </si>
  <si>
    <t>Životnost investice po skončení hodnotícího období</t>
  </si>
  <si>
    <t>Investment lifetime after the end of evaluation period</t>
  </si>
  <si>
    <t>* When dividing costs listed in aggregate budgets, the following items are allocated to the specified categories:
- railway crossings = superstructure,
- utility networks, cable, of other owners (phones, data networks, public electric wiring, public lighting) = utility networks, 
- other technical equipment, e.g. lifts, escalators, cranes, water treatment plant = heavy-current distribution lines and equipment,
- rerouting and watercourse adjustment, technical and biologic reclamation, felling = environmental protection,
- individual noise reduction measures = environmental protection,
- noise walls and noise barriers = environmental protection,
- power supply buildings = buildings, 
- lighting, low-voltage rail cables, electrical switch heaters, POC and power supply = heavy-current distribution lines and equipment,
- general buildings = utility networks.</t>
  </si>
  <si>
    <t>Průměrný nákladový peněžní tok (nediskontovaný)</t>
  </si>
  <si>
    <t>Average cost cash flow (undiscounted)</t>
  </si>
  <si>
    <t>ZŮSTATKOVÁ HODNOTA</t>
  </si>
  <si>
    <t>RESIDUAL VALUE</t>
  </si>
  <si>
    <t>Výpočet zůstatkové hodnoty pro EA</t>
  </si>
  <si>
    <t>Calculation of residual value for EA</t>
  </si>
  <si>
    <t>Ekonomický přínos v posledním roce (nediskontovaný)</t>
  </si>
  <si>
    <t>Economic benefit in the past year (undiscounted)</t>
  </si>
  <si>
    <t>Diskont. zůstatková hodnota investic pro FA</t>
  </si>
  <si>
    <t>Discount. residual value of investments for FA</t>
  </si>
  <si>
    <t>Diskontovaná zůstatková hodnota investic v EUR</t>
  </si>
  <si>
    <t>Discounted residual value of investments in EUR</t>
  </si>
  <si>
    <t>Diskont. zůstatková hodnota investic pro EA</t>
  </si>
  <si>
    <t>Discount. residual value of investments for EA</t>
  </si>
  <si>
    <t>3 PN infrastruktury</t>
  </si>
  <si>
    <t>3 OC of infrastructure</t>
  </si>
  <si>
    <t>Celkové provozní náklady (CZK)</t>
  </si>
  <si>
    <t>Total operating costs (CZK)</t>
  </si>
  <si>
    <t>Scénář s projektem</t>
  </si>
  <si>
    <t xml:space="preserve">Project scenario  </t>
  </si>
  <si>
    <t>Náklady na údržbu a opravy - ŽELEZNIČNÍ infrastruktura</t>
  </si>
  <si>
    <t>Repairs and maintenance costs - RAILWAY infrastructure</t>
  </si>
  <si>
    <t>Reinvestice (obnova) - ŽELEZNIČNÍ infrastruktura</t>
  </si>
  <si>
    <t>Re-investment (renovation) - RAILWAY infrastructure</t>
  </si>
  <si>
    <t>Náklady na řízení provozu - ŽELEZNIČNÍ doprava</t>
  </si>
  <si>
    <t>Traffic management costs - RAILWAY infrastructure</t>
  </si>
  <si>
    <t>Náklady na běžnou údržbu - SILNIČNÍ infrastruktura</t>
  </si>
  <si>
    <t>Maintenance costs - ROAD infrastructure</t>
  </si>
  <si>
    <t>Náklady na opravy - SILNIČNÍ infrastruktura</t>
  </si>
  <si>
    <t>Repair costs - ROAD infrastructure</t>
  </si>
  <si>
    <t>Náklady na běžnou údržbu VODNÍ infrastruktury</t>
  </si>
  <si>
    <t>Maintenance costs for WATER infrastructure</t>
  </si>
  <si>
    <t>Náklady na opravy VODNÍ infrastruktury</t>
  </si>
  <si>
    <t>Repair costs for WATER infrastructure</t>
  </si>
  <si>
    <t>Celkové PN infrastruktury</t>
  </si>
  <si>
    <t xml:space="preserve">Total OC of infrastructure </t>
  </si>
  <si>
    <t>Total</t>
  </si>
  <si>
    <t>Scénář bez projektu</t>
  </si>
  <si>
    <t>No-project scenario</t>
  </si>
  <si>
    <t>Přírůstkové celkové provozní náklady (CZK)</t>
  </si>
  <si>
    <t>Total incremental operating costs (CZK)</t>
  </si>
  <si>
    <t>Přírůstkové celkové PN infrastruktury</t>
  </si>
  <si>
    <t xml:space="preserve">Total incremental OC of infrastructure </t>
  </si>
  <si>
    <t>Scénář s projektem (CZK)</t>
  </si>
  <si>
    <t>Project scenario (CZK)</t>
  </si>
  <si>
    <t>Scénář bez projektu (CZK)</t>
  </si>
  <si>
    <t>No-project scenario (CZK)</t>
  </si>
  <si>
    <t>Přírůstkové cash-flow (CZK)</t>
  </si>
  <si>
    <t>Incremental cash-flow (CZK)</t>
  </si>
  <si>
    <t>Náklady na řízení provozu - železniční doprava</t>
  </si>
  <si>
    <t>Traffic management costs - railway infrastructure</t>
  </si>
  <si>
    <t>Měrné ohodnocení</t>
  </si>
  <si>
    <t>Specific evaluation</t>
  </si>
  <si>
    <t>Dozorčí provozu</t>
  </si>
  <si>
    <t>Operating supervisor</t>
  </si>
  <si>
    <t>Výpravčí</t>
  </si>
  <si>
    <t>Station dispatcher</t>
  </si>
  <si>
    <t>Dozorčí provozu – vedoucí směny</t>
  </si>
  <si>
    <t>Operating supervisor -  shift manager</t>
  </si>
  <si>
    <t>Operátor železniční dopravy</t>
  </si>
  <si>
    <t>Railway transport operator</t>
  </si>
  <si>
    <t>Signalista</t>
  </si>
  <si>
    <t>Signaler</t>
  </si>
  <si>
    <t>Výhybkář</t>
  </si>
  <si>
    <t>Switchman</t>
  </si>
  <si>
    <t>Staniční dozorce</t>
  </si>
  <si>
    <t>Station supervisor</t>
  </si>
  <si>
    <t>Dozorce výhybek</t>
  </si>
  <si>
    <t>Switch supervisor</t>
  </si>
  <si>
    <t>Závorář</t>
  </si>
  <si>
    <t>Gate keeper</t>
  </si>
  <si>
    <t>Závorář s prodejem jízdenek</t>
  </si>
  <si>
    <t>Gate keeper with ticket sale</t>
  </si>
  <si>
    <t>Hradlář – hláskař</t>
  </si>
  <si>
    <t>Block signalman - announcer</t>
  </si>
  <si>
    <t>Hradlář – hláskař s prodejem jízdenek</t>
  </si>
  <si>
    <t>Block signalman - announcer with ticket sale</t>
  </si>
  <si>
    <t>Dělník v dopravě – staniční dělník</t>
  </si>
  <si>
    <t>Transport worker - station worker</t>
  </si>
  <si>
    <t>mzdové náklady za rok práce</t>
  </si>
  <si>
    <t>annual wage costs</t>
  </si>
  <si>
    <t>základní náklady za rok práce</t>
  </si>
  <si>
    <t>basic annual labour costs</t>
  </si>
  <si>
    <t>CZK/rok</t>
  </si>
  <si>
    <t>CZK/year</t>
  </si>
  <si>
    <t>V tabulkách 3.1 a 3.2 zpracovatel přímo dopočítává a vyplňuje pouze provozní náklady na údržbu a opravy předmětné infrastruktury. Podrobněji k jednotlivým modům viz kapitola 8.1.4, 8.1.5 a 8.1.6. resp. příslušná příloha materiálu Rezortní metodika pro hodnocení ekonomické efektivnosti projektů dopravních staveb (MD ČR, 2017).</t>
  </si>
  <si>
    <t>Růst nákladů na řízení provozu</t>
  </si>
  <si>
    <t>Growth of traffic management costs</t>
  </si>
  <si>
    <t>In table 3.1 and 3.2, the author shall directly calculate and fill in only operating costs for repairs and maintenance of the given infrastructure. For details about individual modes, see chapters 8.1.4, 8.1.5 and 8.1.6 or the relevant annexes of the Departmental Guideline for the evaluation of economic effectiveness of transport construction projects (MoT CR, 2017)</t>
  </si>
  <si>
    <t>Elasticita</t>
  </si>
  <si>
    <t>Elasticity</t>
  </si>
  <si>
    <t>Počty zaměstnanců</t>
  </si>
  <si>
    <t>Employee number</t>
  </si>
  <si>
    <t>Pro vyčíslení provozních nákladů na řízení dopravy v železniční dopravě se využije přednastavených vzorců v tabulkách 3.1, 3.2 a 3.5. Zpracovatel vyplňuje pouze tabulky 3.6 a 3.7 a ověřuje správnost výpočtu odstupného. V rámci silniční a vodní dopravy neprobíhá řízení dopravy samotné, ale je realizován dohled na provoz. Tyto provozní náklady jsou v rámci sítě fixní a při realizaci nových infrastrukturních projektů nedochází k jejich změně. Do výpočtu tedy nevstupují.</t>
  </si>
  <si>
    <t>Odstupné</t>
  </si>
  <si>
    <t>severance pay</t>
  </si>
  <si>
    <t>To calculate operating costs for railway transport management, the prepared formulae in tables 3.1, 3.2 and 3.5 are used. The author fills in only the tables 3.6 and 3.7 and verified the correctness of the severance calculation. In road or water transport, there is no traffic control as such, but traffic supervision is carried out. These operating costs are fixed within the network and they do not change when implementing new infrastructure projects. They are hence not included in the calculation.</t>
  </si>
  <si>
    <t>Růst reálné mzdy v dopravě</t>
  </si>
  <si>
    <t>Growth of real wage in transport sector</t>
  </si>
  <si>
    <t>4 PN vozidel</t>
  </si>
  <si>
    <t>4 OC of vehicles</t>
  </si>
  <si>
    <t>Project scenario</t>
  </si>
  <si>
    <t xml:space="preserve">Náklady na provoz VLAKŮ - osobní </t>
  </si>
  <si>
    <t>Operating costs of TRAINS - passenger</t>
  </si>
  <si>
    <t>Náklady na provoz VLAKŮ - nákladní</t>
  </si>
  <si>
    <t>Operating costs of TRAINS - freight</t>
  </si>
  <si>
    <t>Náklady na provoz SILNIČNÍCH vozidel - osobní</t>
  </si>
  <si>
    <t>Operating costs of ROAD vehicles - passenger</t>
  </si>
  <si>
    <t>Náklady na provoz SILNIČNÍCH vozidel - nákladní</t>
  </si>
  <si>
    <t>Operating costs of ROAD vehicles - freight</t>
  </si>
  <si>
    <t>Náklady na provoz PLAVIDEL - osobní</t>
  </si>
  <si>
    <t>Operating costs of VESSELS - passenger</t>
  </si>
  <si>
    <t>Náklady na provoz PLAVIDEL - nákladní</t>
  </si>
  <si>
    <t>Operating costs of VESSELS - freight</t>
  </si>
  <si>
    <t>Celkové provozní náklady vozidel</t>
  </si>
  <si>
    <t>Total operating costs of vehicles</t>
  </si>
  <si>
    <t>Incremental total operating costs (CZK)</t>
  </si>
  <si>
    <t>Přírůstkové celkové PN vozidel</t>
  </si>
  <si>
    <t xml:space="preserve">Incremental total OC of vehicles </t>
  </si>
  <si>
    <t>Způsob výpočtu provozních nákladů vozidel/plavidel je uveden v kapitole 8.1.9, 8.1.10 a 8.1.11. materiálu "Rezortní metodika pro hodnocení ekonomické efektivnosti projektů dopravních staveb". V tabulce 4.1. a  4.2. uvede zpracovatel konkrétní výpočet pomocí vzorců,  s odkazem na tabulky výkonů (tabulka 4.4. a 4.5.) a měrného ohodnocení (v závislosti na použité metodě). Případně uvede odkaz na jiný způsob výpočtu (model HDM-4) či příloha č. 7 Rezortní Metodiky - Metodika PN vlaků. V případě výpočtu modelem HDM-4 mohou být uváděny provozní náklady silničních vozidel osobní a nákladní dopravy dohromady.</t>
  </si>
  <si>
    <t>The method of calculation for operating costs of vehicles/vessels is specified in chapter 8.1.9, 8.1.10 and 8.1.11 of the "Departmental Guideline for the evaluation of economic effectiveness of transport construction projects". In table 4.1. and 4.2., the author specifies the exact number using the equations, with reference to performance tables (table 4.4. and 4.5.) and specific evaluation (based on the method used); or specifies reference to other calculation method (model HDM-4) or annex no. 7 of the Departmental Guideline - Methodology for OC of trains. In case of calculation using the HDM-4 model, the operating costs of road passenger and freight vehicles can be listed together.</t>
  </si>
  <si>
    <t>Celkové výkony</t>
  </si>
  <si>
    <t>Total performance</t>
  </si>
  <si>
    <t>V případě projektů městské hromadné dopravy je třeba uvádět zvlášť provozní náklady autobusů MHD a ostatních silničních vozidel (např. IAD). Provozní náklady musí být kvůli správné funkci výpočtu finanční analýzy uvedeny v položce "Náklady na provoz SILNIČNÍCH vozidel - osobní"!</t>
  </si>
  <si>
    <t>5 Úspory času</t>
  </si>
  <si>
    <t>5 Time savings</t>
  </si>
  <si>
    <t>In case of urban public transport projects, it is necessary to specify the operating costs of PuT buses and other road vehicles (AIT) separately. To ensure correct calculation of financial analysis, the operating costs must be entered into the item "Costs for operation of ROAD vehicles - passenger"!</t>
  </si>
  <si>
    <t>ŽELEZNICE</t>
  </si>
  <si>
    <t>RAILWAY</t>
  </si>
  <si>
    <t>SILNICE</t>
  </si>
  <si>
    <t xml:space="preserve">ROADS   </t>
  </si>
  <si>
    <t>Úspory z cestovních dob stávající dopravy (CZK)</t>
  </si>
  <si>
    <t>Travel time savings for existing transport (CZK)</t>
  </si>
  <si>
    <t>Osobní - příměstská</t>
  </si>
  <si>
    <t>Passenger - suburban</t>
  </si>
  <si>
    <t>Osobní - dálková</t>
  </si>
  <si>
    <t>Passenger - long-distance</t>
  </si>
  <si>
    <t>Nákladní - místní</t>
  </si>
  <si>
    <t>Freight - local</t>
  </si>
  <si>
    <t>Nákladní - dálková</t>
  </si>
  <si>
    <t>Freight - long-distance</t>
  </si>
  <si>
    <t>Osobní a nákladní doprava silniční (dle HDM-4)</t>
  </si>
  <si>
    <t>Passenger and freight road transport (under HDM-4)</t>
  </si>
  <si>
    <t>Celkové úspory z cestovních dob v železniční dopravě</t>
  </si>
  <si>
    <t>Total travel time savings for railway transport</t>
  </si>
  <si>
    <t>Úspory z cestovních dob indukované dopravy (CZK)</t>
  </si>
  <si>
    <t>Travel time savings for induced traffic (CZK)</t>
  </si>
  <si>
    <t>Celkové úspory z cestovních dob indukované dopravy</t>
  </si>
  <si>
    <t>Total travel time savings for induced traffic</t>
  </si>
  <si>
    <t>Úspory z cestovních dob převedené dopravy (CZK)</t>
  </si>
  <si>
    <t>Travel time savings for transferred traffic (CZK)</t>
  </si>
  <si>
    <t>BUS</t>
  </si>
  <si>
    <t>IAD</t>
  </si>
  <si>
    <t>IAT</t>
  </si>
  <si>
    <t>LUV</t>
  </si>
  <si>
    <t>HUV</t>
  </si>
  <si>
    <t>Celkové úspory z cestovních dob převedené dopravy</t>
  </si>
  <si>
    <t>Total travel time savings for transferred traffic</t>
  </si>
  <si>
    <t>Celkové úspory z cestovních dob (CZK)</t>
  </si>
  <si>
    <t>Total travel time savings (CZK)</t>
  </si>
  <si>
    <t>Celkové úspory z cestovních dob v ŽELEZNIČNÍ dopravě</t>
  </si>
  <si>
    <t>Total travel time savings for RAILWAY transport</t>
  </si>
  <si>
    <t>Celkové úspory z cestovních dob v SILNIČNÍ dopravě (dle HDM-4)</t>
  </si>
  <si>
    <t>Total travel time savings for ROAD transport (under HDM-4)</t>
  </si>
  <si>
    <t>Celkové úspory z cestovních dob INDUKOVANÉ dopravy</t>
  </si>
  <si>
    <t>Total travel time savings for INDUCED traffic</t>
  </si>
  <si>
    <t>Celkové úspory z cestovních dob PŘEVEDENÉ dopravy</t>
  </si>
  <si>
    <t>Total travel time savings for TRANSFERRED traffic</t>
  </si>
  <si>
    <t>Celkové úspory z cestovních dob</t>
  </si>
  <si>
    <t>Total travel time savings</t>
  </si>
  <si>
    <t>Úspory z cestovních dob v železniční dopravě (CZK)</t>
  </si>
  <si>
    <t>Travel time savings for railway transport (CZK)</t>
  </si>
  <si>
    <t>Úspory z cestovních dob v silniční dopravě dle HDM-4 (CZK)</t>
  </si>
  <si>
    <t>Travel time savings for road transport under HDM-4 (CZK)</t>
  </si>
  <si>
    <t>HODNOTY ČASU</t>
  </si>
  <si>
    <t>VALUE OF TIME</t>
  </si>
  <si>
    <t>Osobní doprava</t>
  </si>
  <si>
    <t>Passenger transport</t>
  </si>
  <si>
    <t>Pracovní čas</t>
  </si>
  <si>
    <t>Working hours</t>
  </si>
  <si>
    <t>Nepracovní čas</t>
  </si>
  <si>
    <t>Non-working hours</t>
  </si>
  <si>
    <t>Krátká dojížďka</t>
  </si>
  <si>
    <t>Short commute</t>
  </si>
  <si>
    <t>Dlouhá dojížďka</t>
  </si>
  <si>
    <t>Long commute</t>
  </si>
  <si>
    <t>Ostatní - krátká vzdálenost</t>
  </si>
  <si>
    <t>Other - short distance</t>
  </si>
  <si>
    <t>Ostatní - dlouhá vzdálenost</t>
  </si>
  <si>
    <t>Other -  long distance</t>
  </si>
  <si>
    <t>Bus</t>
  </si>
  <si>
    <t>Auto, vlak</t>
  </si>
  <si>
    <t>Car, train</t>
  </si>
  <si>
    <t>CZK/oshod</t>
  </si>
  <si>
    <t>CZK/pass-hours</t>
  </si>
  <si>
    <t>Nákladní doprava</t>
  </si>
  <si>
    <t>Freight transport</t>
  </si>
  <si>
    <t>Dle dopravního módu</t>
  </si>
  <si>
    <t>According to transport mode</t>
  </si>
  <si>
    <t>Dle přepravovaných komodit</t>
  </si>
  <si>
    <t>According to transported commodities</t>
  </si>
  <si>
    <t>Silnice</t>
  </si>
  <si>
    <t>Roads</t>
  </si>
  <si>
    <t>Železnice</t>
  </si>
  <si>
    <t>Railway</t>
  </si>
  <si>
    <t>Nízká přidaná hodnota</t>
  </si>
  <si>
    <t>Low added value</t>
  </si>
  <si>
    <t>Běžný náklad</t>
  </si>
  <si>
    <t>Common load</t>
  </si>
  <si>
    <t>Zdroj: "HEATCO" a „Rezortní metodika pro hodnocení ekonomické efektivnosti projektů dopravních staveb", 2017</t>
  </si>
  <si>
    <t>Vysoká přidaná hodnota</t>
  </si>
  <si>
    <t>High added value</t>
  </si>
  <si>
    <t>Source: "HEATCO" and "Departmental Guideline for the evaluation of economic effectiveness of transport construction projects", 2017</t>
  </si>
  <si>
    <t>CZK/thod</t>
  </si>
  <si>
    <t>CZK/t-h</t>
  </si>
  <si>
    <t>Poměr cest</t>
  </si>
  <si>
    <t>Proportion of trips</t>
  </si>
  <si>
    <t>krátké</t>
  </si>
  <si>
    <t xml:space="preserve">short   </t>
  </si>
  <si>
    <t>dlouhé</t>
  </si>
  <si>
    <t xml:space="preserve">long  </t>
  </si>
  <si>
    <t>Celkové oshod</t>
  </si>
  <si>
    <t>Total pass-hours</t>
  </si>
  <si>
    <t>Železniční doprava</t>
  </si>
  <si>
    <t xml:space="preserve">Railway transport  </t>
  </si>
  <si>
    <t>Indukov. doprava</t>
  </si>
  <si>
    <t>Induced traffic</t>
  </si>
  <si>
    <t>Převed. doprava</t>
  </si>
  <si>
    <t>Transferred traffic</t>
  </si>
  <si>
    <t>Passenger - long distance</t>
  </si>
  <si>
    <t>Celkové thod</t>
  </si>
  <si>
    <t>Total t-h</t>
  </si>
  <si>
    <t>Nákladní - regionální</t>
  </si>
  <si>
    <t>Freight - regional</t>
  </si>
  <si>
    <t>Freight - long distance</t>
  </si>
  <si>
    <t>Zpracovatel uvede konkrétní hodnoty výstupů z dopravního prognózování použité při výpočtu úspor času. Tabulky 5.6. a 5.7. je možné přizpůsobit konkrétnímu projektu.</t>
  </si>
  <si>
    <t>The author shall specify the exact output values from traffic prognosis used during calculation of travel savings. The tables 5.6 and 5.7 can be adjusted to the particular project.</t>
  </si>
  <si>
    <t>Změna měrných hodnot času</t>
  </si>
  <si>
    <t>Change of specific value of time</t>
  </si>
  <si>
    <t>V tabulce 5.1., 5.2. a  5.3. uvede zpracovatel konkrétní výpočet pomocí vzorců, s odkazem na tabulky výkonů (tabulka 5.6. a 5.7.) a měrného ohodnocení (tabulka 5.5.) a vynásobí hodnoty v tabulce 5.1, 5.2 a 5.3 správnou hodnotou z tabulky 5.8</t>
  </si>
  <si>
    <t>Hodnota růstu HDP na hlavu (resp. prognóza)</t>
  </si>
  <si>
    <t>GDP growth per capita (prognosis)</t>
  </si>
  <si>
    <t>In table 5.1., 5.2. and 5.3., the author specifies the exact calculation using equations, with reference to the performance tables (table 5.6. and 5.7.) and specific evaluation (table 5.5.) and multiplies the values from table 5.1, 5.2 and 5.3 by the correct value from the table 5.8</t>
  </si>
  <si>
    <t>Výsledný růstový koef. - osobní (PRACOVNÍ čas) a nákladní doprava</t>
  </si>
  <si>
    <t>Resulting growth coef. - passenger (WORKING time) and freight transport</t>
  </si>
  <si>
    <t>V případě zpracování hodnocení pro silniční projekty je možné použít výstupy z HDM-4 vložené přímo do tabulky v listu "Vstupy z HDM-4 a EXNAD". Jejich přepočet se provádí automaticky a je třeba nastavit pouze hodnotu indexace v prvním roce v buňce E146.</t>
  </si>
  <si>
    <t>Výsledný růstový koef. - osobní (NEPRACOVNÍ čas) doprava</t>
  </si>
  <si>
    <t>Resulting growth coef. - passenger (NON-WORKING time) transport</t>
  </si>
  <si>
    <t>For preparation of evaluation for road projects, it is possible to use outputs from HDM-4 inputted directly into the table in sheet "Inputs from HDM-4 and EXNAD". Their conversion is automatic and the author must set only the value of indexation for the first year in cell E146.</t>
  </si>
  <si>
    <t>Pro nákladní dopravu lze alternativně použít hodnoty podle dopravních módů nebo přepravovaných komodit. Podmínky jsou obsaženy v kapitole 8.1.13 Rezortní metodiky</t>
  </si>
  <si>
    <t>6 Externality</t>
  </si>
  <si>
    <t>6 Externalities</t>
  </si>
  <si>
    <t>For freight transport, alternatively, the values by transport mode or transported commodit may be used. The conditions are described in chapter 8.1.13 of the Departmental Guideline</t>
  </si>
  <si>
    <t>ŽELEZNIČNÍ osobní doprava</t>
  </si>
  <si>
    <t>RAILWAY passenger transport</t>
  </si>
  <si>
    <t>ŽELEZNIČNÍ nákladní doprava</t>
  </si>
  <si>
    <t>RAILWAY freight transport</t>
  </si>
  <si>
    <t>Pro výpočet úspor času v MHD se využije sazby pro BUS, hodnoty pro tramvaje a metro se uvádějí do řádků úspory stávající železniční dopravy a hodnoty pro trolejbus do řádku pro BUS (případně dalšího volného řádku u převedené dopravy). U jednotlivých řádků je třeba doplnit odpovídající vysvětlující popis.</t>
  </si>
  <si>
    <t>SILNIČNÍ osobní doprava</t>
  </si>
  <si>
    <t>ROAD passenger transport</t>
  </si>
  <si>
    <t>To calculate time savings in PuT, the rate for BUS is used; the values for trams and underground are listed in rows of existing railway transport savings, and values for trolleybus in row for BUS (or other available row for transferred traffic). An explanatory description must be filled in for individual rows.</t>
  </si>
  <si>
    <t>SILNIČNÍ nákladní doprava</t>
  </si>
  <si>
    <t>ROAD freight transport</t>
  </si>
  <si>
    <t>VODNÍ os. doprava</t>
  </si>
  <si>
    <t>WATER pass. transport</t>
  </si>
  <si>
    <t>VODNÍ nákladní doprava</t>
  </si>
  <si>
    <t>WATER freight transport</t>
  </si>
  <si>
    <t>OSTATNÍ osobní doprava</t>
  </si>
  <si>
    <t>OTHER passenger transport</t>
  </si>
  <si>
    <t>OSTATNÍ nákladní doprava</t>
  </si>
  <si>
    <t>OTHER freight transport</t>
  </si>
  <si>
    <t>Externí náklady (CZK)</t>
  </si>
  <si>
    <t>External costs (CZK)</t>
  </si>
  <si>
    <t>Nehody</t>
  </si>
  <si>
    <t>Accidents</t>
  </si>
  <si>
    <t>Hluk</t>
  </si>
  <si>
    <t>Noise</t>
  </si>
  <si>
    <t>Znečištění ovzduší</t>
  </si>
  <si>
    <t>Air pollution</t>
  </si>
  <si>
    <t>Klimatické změny</t>
  </si>
  <si>
    <t>Climate change</t>
  </si>
  <si>
    <t>Celkové externí náklady</t>
  </si>
  <si>
    <t>Total external costs</t>
  </si>
  <si>
    <t>Osobní</t>
  </si>
  <si>
    <t>Passenger</t>
  </si>
  <si>
    <t>Nákladní</t>
  </si>
  <si>
    <t>Freight</t>
  </si>
  <si>
    <t>Celkem externí efekty - úspory</t>
  </si>
  <si>
    <t>Total external effects - savings</t>
  </si>
  <si>
    <t>Celkem externí efekty - úspory (CZK)</t>
  </si>
  <si>
    <t>Total external effects - savings (CZK)</t>
  </si>
  <si>
    <t>Externí náklady -  scénář s projektem (CZK)</t>
  </si>
  <si>
    <t>External costs - project scenario (CZK)</t>
  </si>
  <si>
    <t>Externí náklady - scénář bez projektu (CZK)</t>
  </si>
  <si>
    <t>External costs - no-project scenario (CZK)</t>
  </si>
  <si>
    <t>Společenské náklady NEHODOVOSTI</t>
  </si>
  <si>
    <t>Social costs of ACCIDENTS</t>
  </si>
  <si>
    <t>nehoda</t>
  </si>
  <si>
    <t xml:space="preserve">accident </t>
  </si>
  <si>
    <t>s úmrtím</t>
  </si>
  <si>
    <t>resulting in fatality</t>
  </si>
  <si>
    <t>s těžkým zraněním</t>
  </si>
  <si>
    <t>resulting in serious injury</t>
  </si>
  <si>
    <t>s lehkým zraněním</t>
  </si>
  <si>
    <t>resulting in light injury</t>
  </si>
  <si>
    <t>s hmotnou škodou</t>
  </si>
  <si>
    <t>resulting in material damage</t>
  </si>
  <si>
    <t>měrná hodnota</t>
  </si>
  <si>
    <t>measured value</t>
  </si>
  <si>
    <t>jednotka</t>
  </si>
  <si>
    <t>unit</t>
  </si>
  <si>
    <t>CZK/osoba</t>
  </si>
  <si>
    <t>CZK/person</t>
  </si>
  <si>
    <t>CZK/nehoda</t>
  </si>
  <si>
    <t>CZK/accident</t>
  </si>
  <si>
    <t>Zdroj: Centrum dopravního výzkumu v.v.i.</t>
  </si>
  <si>
    <t>Source: Transport Research Centre v.v.i.</t>
  </si>
  <si>
    <t>Zjednodušené externí NÁKLADY NEHOD</t>
  </si>
  <si>
    <t>Simplified external COSTS OF ACCIDENTS</t>
  </si>
  <si>
    <t>druh dopravy, jednotka</t>
  </si>
  <si>
    <t>transport mode, unit</t>
  </si>
  <si>
    <t>OSOBNÍ DOPRAVA
[CZK/1000 oskm]</t>
  </si>
  <si>
    <t>PASSENGER TRANSPORT[CZK/1000 passkm]</t>
  </si>
  <si>
    <t>NÁKLADNÍ DOPRAVA
[CZK/1000 tkm]</t>
  </si>
  <si>
    <t>FREIGHT TRANSPORT[CZK/1000 tonnkm]</t>
  </si>
  <si>
    <t>dopravní mód</t>
  </si>
  <si>
    <t xml:space="preserve">transport mode  </t>
  </si>
  <si>
    <t>silniční CELKEM</t>
  </si>
  <si>
    <t>road TOTAL</t>
  </si>
  <si>
    <t>železniční</t>
  </si>
  <si>
    <t>railway</t>
  </si>
  <si>
    <t>LGV</t>
  </si>
  <si>
    <t>HGV</t>
  </si>
  <si>
    <t>měrné náklady</t>
  </si>
  <si>
    <t>specific costs</t>
  </si>
  <si>
    <t>Zdroj: External Costs of Transport in Europe, Delft 2011</t>
  </si>
  <si>
    <t>Source: External Costs of Transport in Europe, Delft 2011</t>
  </si>
  <si>
    <t>Společenské náklady HLUKU</t>
  </si>
  <si>
    <t>Social costs of NOISE</t>
  </si>
  <si>
    <t>transport mode</t>
  </si>
  <si>
    <t>hladina hluku v dB(A)</t>
  </si>
  <si>
    <t>noise level in dB(A)</t>
  </si>
  <si>
    <t>silnice</t>
  </si>
  <si>
    <t>roads</t>
  </si>
  <si>
    <t>železnice</t>
  </si>
  <si>
    <t>railways</t>
  </si>
  <si>
    <t>měrné hodnoty</t>
  </si>
  <si>
    <t>specific values</t>
  </si>
  <si>
    <t>CZK/os/rok</t>
  </si>
  <si>
    <t>CZK/pass/year</t>
  </si>
  <si>
    <t>Zjednodušené externí NÁKLADY HLUKU</t>
  </si>
  <si>
    <t>Simplified external COSTS OF NOISE</t>
  </si>
  <si>
    <t>mode of transport, unit</t>
  </si>
  <si>
    <t>Společenské náklady ZNEČIŠTĚNÍ ŽIVOTNÍHO PROSTŘEDÍ a emisí SKLENÍKOVÝCH PLYNŮ</t>
  </si>
  <si>
    <t>Social costs of ENVIRONMENTAL POLUTTION and GREENHOUSE GAS emissions</t>
  </si>
  <si>
    <r>
      <t>Společenské náklady emisí CO</t>
    </r>
    <r>
      <rPr>
        <vertAlign val="subscript"/>
        <sz val="10"/>
        <rFont val="Calibri"/>
        <family val="2"/>
        <charset val="238"/>
      </rPr>
      <t>2</t>
    </r>
    <r>
      <rPr>
        <sz val="10"/>
        <rFont val="Calibri"/>
        <family val="2"/>
        <charset val="238"/>
      </rPr>
      <t xml:space="preserve"> po roce 2022</t>
    </r>
  </si>
  <si>
    <t>charakter zástavby</t>
  </si>
  <si>
    <t>nature of development</t>
  </si>
  <si>
    <r>
      <t>Social costs of emisions CO</t>
    </r>
    <r>
      <rPr>
        <vertAlign val="subscript"/>
        <sz val="10"/>
        <rFont val="Calibri"/>
        <family val="2"/>
        <charset val="238"/>
      </rPr>
      <t>2</t>
    </r>
    <r>
      <rPr>
        <sz val="10"/>
        <rFont val="Calibri"/>
        <family val="2"/>
        <charset val="238"/>
      </rPr>
      <t xml:space="preserve"> after 2022</t>
    </r>
  </si>
  <si>
    <t>plutant</t>
  </si>
  <si>
    <t>pollutant</t>
  </si>
  <si>
    <t>Zdroj: Technické pokyny k prověřování infrastruktury z hlediska klimatického dopadu v období 2021 – 2027 (2021/C 373/01), 09/2021</t>
  </si>
  <si>
    <t>mimo město</t>
  </si>
  <si>
    <t>outside of city</t>
  </si>
  <si>
    <t>Source: Technical guidance on the climate proofing of infrastructure in the period 2021-2027 (2021/C 373/01), issued 09/2021</t>
  </si>
  <si>
    <t>předměstí</t>
  </si>
  <si>
    <t>suburb</t>
  </si>
  <si>
    <t>Pozn: Platí pro výpočty od roku 2022 vč., již zahrnuje navyšování v letech a neaplikuje se indexace hodnotami z tabulky 6.19. a, resp. 6.19. b! Je však nutné provést převod na správnou CÚ s využitím obecné inflace.</t>
  </si>
  <si>
    <t>město</t>
  </si>
  <si>
    <t>city</t>
  </si>
  <si>
    <t>Note: Applies to calculations since 2022 incl., already includes increases in years and indexation with values from table 6.19 a, resp. 6.19. b is not to be applied! However, it is necessary to convert values to the correct PL using general inflation.</t>
  </si>
  <si>
    <t>EMISNÍ FAKTORY sledovaných polutantů nákladní dopravy</t>
  </si>
  <si>
    <t>EMISSION FACTORS of monitored pollutants in freight transport</t>
  </si>
  <si>
    <t>emisní faktor - OSOBNÍ DOPRAVA</t>
  </si>
  <si>
    <t>emission factor - PASSENGER TRANSPORT</t>
  </si>
  <si>
    <t>dopravní mód, jednotka</t>
  </si>
  <si>
    <t>SILNIČNÍ DOPRAVA
[g/vozokm]</t>
  </si>
  <si>
    <t>ROAD TRANSPORT[g/vehicle-km]</t>
  </si>
  <si>
    <t>ŽELEZNIČNÍ DOPRAVA
[g/vlkm]</t>
  </si>
  <si>
    <t>RAILWAY TRANSPORT[g/train-km]</t>
  </si>
  <si>
    <t>polutant</t>
  </si>
  <si>
    <t>Zdroj: Aktualizovaná příručka o externích nákladech dopravy, RICARDO-AEA, zpráva pro EK, GŘ pro dopravu a mobilitu, vyd. 01/2014</t>
  </si>
  <si>
    <t>AIT</t>
  </si>
  <si>
    <t>Source: Update of the Handbook on External Costs of Transport, RICARDO-AEA, Report for the EC, DG Mobility and Transport, issued 01/2014</t>
  </si>
  <si>
    <t>Pozn: město - nad 1500 obyvatel/km2; předměstí - 300 obyvatel/km2; mimo město - méně než 150 obyvatel/km2; *hodnoty CO2 platné pouze do roku 2021!</t>
  </si>
  <si>
    <t>dieslová trakce</t>
  </si>
  <si>
    <t>diesel traction</t>
  </si>
  <si>
    <t>Note: city - over 1500 person/km2; suburbs - 300 persons/km2; outside of city - less than 150 persons/km2; *CO2 values valid only until 2021</t>
  </si>
  <si>
    <t>elektrická trakce</t>
  </si>
  <si>
    <t>electric traction</t>
  </si>
  <si>
    <t>emisní faktor - NÁKLADNÍ DOPRAVA</t>
  </si>
  <si>
    <t>emission factor - FREIGHT TRANSPORT</t>
  </si>
  <si>
    <t>VODNÍ DOPRAVA [g/vozokm]</t>
  </si>
  <si>
    <t>WATER TRANSPORT [g/vehicle-km]</t>
  </si>
  <si>
    <t>Celkové vozo / vlkm</t>
  </si>
  <si>
    <t>Total vehicle/train-km</t>
  </si>
  <si>
    <t>osobní - DIESLOVÁ trakce</t>
  </si>
  <si>
    <t>passenger - DIESEL traction</t>
  </si>
  <si>
    <t>osobní - ELEKTRICKÁ trakce</t>
  </si>
  <si>
    <t>passenger - ELECTRIC traction</t>
  </si>
  <si>
    <t>nákladní - DIESLOVÁ trakce</t>
  </si>
  <si>
    <t>freight - DIESEL traction</t>
  </si>
  <si>
    <t>nákladní - ELEKTRICKÁ trakce</t>
  </si>
  <si>
    <t>freight - ELECTRIC traction</t>
  </si>
  <si>
    <t>osobní - IAD</t>
  </si>
  <si>
    <t>passenger - IAT</t>
  </si>
  <si>
    <t>osobní - BUS</t>
  </si>
  <si>
    <t>passenger - BUS</t>
  </si>
  <si>
    <t>nákladní - LNV</t>
  </si>
  <si>
    <t>freight - LUV</t>
  </si>
  <si>
    <t>nákladní - TNV</t>
  </si>
  <si>
    <t>freight - HUV</t>
  </si>
  <si>
    <t>vodní osobní doprava</t>
  </si>
  <si>
    <t>water passenger transport</t>
  </si>
  <si>
    <t>vodní nákladní doprava</t>
  </si>
  <si>
    <t>water freight transport</t>
  </si>
  <si>
    <t>ostatní osobní doprava</t>
  </si>
  <si>
    <t>other passenger transport</t>
  </si>
  <si>
    <t>ostatní nákladní doprava</t>
  </si>
  <si>
    <t>other freight transport</t>
  </si>
  <si>
    <t>ŽELEZNIČNÍ
DOPRAVA</t>
  </si>
  <si>
    <t>RAILWAYTRANSPORT</t>
  </si>
  <si>
    <t>SILNIČNÍ
DOPRAVA</t>
  </si>
  <si>
    <t>ROADTRANSPORT</t>
  </si>
  <si>
    <t>Celkové vozokm / vlkm</t>
  </si>
  <si>
    <t>Emise škodlivin - t CO2 / rok</t>
  </si>
  <si>
    <t>Emission of pollutants - t CO2 / year</t>
  </si>
  <si>
    <t>Zpracovatel uvede konkrétní hodnoty výstupů z dopravního prognózování použité při výpočtu externích nákladů. Tabulky 6.7. a 6.8. je možné přizpůsobit konkrétnímu projektu, resp. vyplnit pouze řádky týkající se projektu.</t>
  </si>
  <si>
    <t>Zmírnění změny klimatu - t CO2 / rok</t>
  </si>
  <si>
    <t>Climate change mitigation - t CO2 / year</t>
  </si>
  <si>
    <t>The author lists the specific values of output from traffic prognosis used during the calculation of external costs. The tables 6.7. and 6.8. can be adjusted to the specific project - it is possible to fill in only the rows related to the project.</t>
  </si>
  <si>
    <t>Emise škodlivin - t NOx / rok</t>
  </si>
  <si>
    <t>Emission of pollutants - t NOx / year</t>
  </si>
  <si>
    <t>Zmírnění změny klimatu - t NOx / rok</t>
  </si>
  <si>
    <t>Climate change mitigation - t NOx / year</t>
  </si>
  <si>
    <t>V tabulce 6.1. a  6.2. uvede zpracovatel konkrétní výpočet pomocí vzorců, s odkazem na tabulky výkonů (tabulka 6.7. a 6.8.) a měrného ohodnocení (tabulka 6.4., 6.5. a 6.6.). V případě použití jiného způsobu výpočtu musí být tento</t>
  </si>
  <si>
    <t>Emise škodlivin - t SO2 / rok</t>
  </si>
  <si>
    <t>Emission of pollutants - t SO2 / year</t>
  </si>
  <si>
    <t>In table 6.1. and 6.2., the author lists the specific calculation using equations, with reference to performance tables (tables 6.7. and 6.8.) and specific evaluation (tables 6.4., 6.5. and 6.6). If other method of calculation is used, the author must</t>
  </si>
  <si>
    <t>Zmírnění změny klimatu - t SO2 / rok</t>
  </si>
  <si>
    <t>Climate change mitigation - t SO2 / year</t>
  </si>
  <si>
    <t>Emise škodlivin - t PM2,5 / rok</t>
  </si>
  <si>
    <t>Emission of pollutants - t PM2.5 / year</t>
  </si>
  <si>
    <t>způsob obdobně doložen měrnými hodnotami a jejich zdrojem. Pokud jsou data přímo převzata např. jako výstup z HDM-4 nebo EXNAD, mělo by to být uvedeno a zároveň musí být aplikována změna měrných hodnot dle tab. 6.19.</t>
  </si>
  <si>
    <t>Zmírnění změny klimatu - t PM2,5 / rok</t>
  </si>
  <si>
    <t>Climate change mitigation - t PM2.5 / year</t>
  </si>
  <si>
    <t>specify the method by specific values and their source. If the data is received directly e.g. as on output from HDM-4 or EXNAD, this should be specified, and it is also necessary to apply change of specific values according to the table 6.19.</t>
  </si>
  <si>
    <t>Emise škodlivin - t PM10 / rok</t>
  </si>
  <si>
    <t>Emission of pollutants - t PM10 / year</t>
  </si>
  <si>
    <t>Zmírnění změny klimatu - t PM10 / rok</t>
  </si>
  <si>
    <t>Climate change mitigation - t PM10 / year</t>
  </si>
  <si>
    <t>Pro doložení a kvantifikaci vlivu projektu na zmírnění změny klimatu, resp. znečištění životního prostředí, resp. dílčí výpočty slouží tabulky č. 6.9. - 6.18. Pro lepší oriantaci jsou tabulky každého typu polutantu barevně orámovány.</t>
  </si>
  <si>
    <t>Změna měrných hodnot externalit</t>
  </si>
  <si>
    <t>Change in specific values of externalities</t>
  </si>
  <si>
    <t>The tables no. 6.9. - 6.18. serve for calculations, demonstration and quantification of the effect the project will have on climate change mitigation, or environmental pollution. For clarity, the tables for each type of pollutant are framed with a different colour.</t>
  </si>
  <si>
    <t>Value of GDP per capita growth (prognosis)</t>
  </si>
  <si>
    <t>Pro navyšování měrných hodnot v čase slouží tabulka 6.19., ve které je třeba správně vyplnit první pole.</t>
  </si>
  <si>
    <t>Výsledný růstový koeficient externalit</t>
  </si>
  <si>
    <t>Resulting growth coefficient of externalities</t>
  </si>
  <si>
    <t>To increase specific values in time, the table 6.19. should be used, and here it is necessary to fill in the first cell.</t>
  </si>
  <si>
    <t>7 Osobní a rekreační plavba</t>
  </si>
  <si>
    <t>7 Passenger and recreational water transport</t>
  </si>
  <si>
    <t>Osobní a rekreační plavba (CZK)</t>
  </si>
  <si>
    <t>Passenger and recreational water transport</t>
  </si>
  <si>
    <t>Celkové tržby</t>
  </si>
  <si>
    <t>Total revenues</t>
  </si>
  <si>
    <t>Přidaná hodnota segmentu trhu</t>
  </si>
  <si>
    <t>Added value of the market segment</t>
  </si>
  <si>
    <t>Efekt mezispotřeby</t>
  </si>
  <si>
    <t>Effect of intermediate consumption</t>
  </si>
  <si>
    <t>Tržby z výroby a prodeje plavidel z tuzemska</t>
  </si>
  <si>
    <t>Revenues from manufacture and sales of vessels at home</t>
  </si>
  <si>
    <t>Tržby z výroby a prodeje plavidel ze zahraničí</t>
  </si>
  <si>
    <t>Revenues from manufacture and sales of vessels from abroad</t>
  </si>
  <si>
    <t>Přidaná hodnota výroby plavidel</t>
  </si>
  <si>
    <t>Added value of manufacture of vessels</t>
  </si>
  <si>
    <t>Průměrné hodnoty efektu přidané hodnoty trhu, výroby plavidel a efektu mezispotřeby byly převzaty z kapitoly 8.1.15 Rezortní metodiky. Hodnoty celkových tržeb stanoví zpracovatel na základě přepravní prognózy.</t>
  </si>
  <si>
    <t>Přidaná hodnota a efekt mezispotřeby</t>
  </si>
  <si>
    <t>Added value and effect of intermediate consumption</t>
  </si>
  <si>
    <t>The average values of effects of added values of market, vessel manufacturing, and intermediate consumption effect were taken from the chapter 8.1.15 of the Departmental Guideline. The author will specify the values of total revenues based on traffic prognosis.</t>
  </si>
  <si>
    <t>Přírůstek cash-flow (CZK)</t>
  </si>
  <si>
    <t>Incremental cash flow (CZK)</t>
  </si>
  <si>
    <t>8 Tržby</t>
  </si>
  <si>
    <t>8 Revenues</t>
  </si>
  <si>
    <t>Provozní příjmy - osobní doprava</t>
  </si>
  <si>
    <t>Operating revenues - passenger transport</t>
  </si>
  <si>
    <t>Provozní příjmy - nákladní doprava</t>
  </si>
  <si>
    <t>Operating revenues - freight transport</t>
  </si>
  <si>
    <t>Ostatní příjmy</t>
  </si>
  <si>
    <t>Other revenues</t>
  </si>
  <si>
    <t>Celkové provozní příjmy (CZK)</t>
  </si>
  <si>
    <t>Total operating revenues (CZK)</t>
  </si>
  <si>
    <t xml:space="preserve">Příjmy provozovatele železniční infrastruktury - poplatek za použití dopravní cesty, příjmy z přidělení kapacity dráhy, příjmy z pronájmu či prodeje ploch, pozemků či budov. Způsob stanovení jejich výše a postup výpočtu poplatku za použití dopravní cesty je součástí „Prohlášení o dráze“ vždy pro aktuální a následující rok. </t>
  </si>
  <si>
    <t>The revenue of railway infrastructure operator - infrastructure fee, incomes from the assignment of railway capacity, incomes from the lease or sales of areas, land or buildings. The method of determination of its amount and the calculation procedure specified in the "Railway Declaration" always for the current and the following year.</t>
  </si>
  <si>
    <t>Celkové přírůstkové provozní příjmy (CZK)</t>
  </si>
  <si>
    <t>Total incremental operating revenues (CZK)</t>
  </si>
  <si>
    <t>Příjmy od uživatelů silniční dopravy - příjem z mýtného. Mýtné se platí za užití zpoplatněných komunikací (dálnic a vyznačených úseků silnic 1.třídy) vybranými typy nákladních vozidel. Výši sazeb mýtného a rozlišení sazeb mýtného podle kritérií stanoví příslušný prováděcí právní předpis. Příjmy zahrnují tržby z mýtného snížené o provozní náklady mýtného systému.</t>
  </si>
  <si>
    <t>Přírůstek cash-flow</t>
  </si>
  <si>
    <t>Incremental cash flow</t>
  </si>
  <si>
    <t>The revenues from road transport users - toll income. The toll is paid for using non-free roads (motorways and designated sections of 1st class roads) by specified types of freight vehicles. The toll fee rate and the differing toll rates shall be specified by the relevant implementing legal regulation according to criteria. Revenues include income from toll fee with deduction of the operating costs of the toll system.</t>
  </si>
  <si>
    <t>Příjmy od uživatelů vodní dopravy - poplatky za využití infrastruktury na vodní cestě a služeb s tím spojených. Konkrétně se jedná o využití přístavišť a poskytování přístavních služeb, případně poplatků za použití plavebních stupňů. V ČR je zákonem o vodách garantovaný bezplatný přístup na vodní cestu. Na základě samotného použití vodní cesty tedy nevzniká povinnost plaby poplatků za její využití ani odpovídající příjmový finanční tok správce infrastruktury.</t>
  </si>
  <si>
    <t>The revenues from water transport users - fees for using infrastructure and related services. Specifically this includes using the infrastructure of ports and provision of port services, or fees for sailing class. Free access to waterways is guaranteed in the Czech Republic by the Water Act. The infrastructure operator is therefore not entitled to any revenues from the use of waterways and users do not have the obligation to pay fees for its use.</t>
  </si>
  <si>
    <t>Příjmy od uživatelů městské hromadné dopravy představují příjem od cestujících z jízdného vztažený k příslušnému dopravnímu výkonu.</t>
  </si>
  <si>
    <t>9 Ostatní přínosy EA</t>
  </si>
  <si>
    <t>9 Other benefits of EA</t>
  </si>
  <si>
    <t>The revenues from users of public transport include income from users tickets related to the relevant transport performance.</t>
  </si>
  <si>
    <t>Celkové ostatní přínosy (CZK)</t>
  </si>
  <si>
    <t>Other total benefits (CZK)</t>
  </si>
  <si>
    <t>Výnosy (CZK)</t>
  </si>
  <si>
    <t>Income (CZK)</t>
  </si>
  <si>
    <t>Mohou být zahrnuty i jiné přínosy resp. náklady v EKONOMICKÉ ANALÝZE dle konkrétního projektu. Zpracovatel uvede konkrétní vstupní hodnoty použité při výpočtu.</t>
  </si>
  <si>
    <t>Other income or costs may also be included in the ECONOMIC ANALYSIS depending in the individual project. The author shall list the specific input values used for the calculation.</t>
  </si>
  <si>
    <t>10 Finanční analýza (FRR_C)</t>
  </si>
  <si>
    <t>10 Financial analysis (FRR_C)</t>
  </si>
  <si>
    <t>Kalkulace finančního vnitřního výnosového procenta</t>
  </si>
  <si>
    <t>Calculation of financial internal rate of return</t>
  </si>
  <si>
    <t>Pro správnou funkci modelu je třeba nastavit v buňce S29 resp. S30 jaký typ infrastruktury má být zahrnut do výpočtu finanční analýzy a zda se jedná o konsolidovanou finanční analýzu zahrnující provozní náklady infrastruktury i vozidel (např. v případě projektů městské hromadné dopravy). Výchozí nastavení předpokládá analýzu pouze pro infrastrukturu.</t>
  </si>
  <si>
    <t>Celkové přírůstkové provozní příjmy</t>
  </si>
  <si>
    <t xml:space="preserve">Total incremental operating revenues </t>
  </si>
  <si>
    <t>For correct function of the model, it is necessary to specify in cell S29 or S30 the type of infrastructure that should be included in the financial analysis and if this is a consolidated financial analysis that includes operating costs of infrastructure and vehicles (e.g. in cases of public urban transport projects). The initial setting expects analysis only for this infrastructure.</t>
  </si>
  <si>
    <t>Celkové výnosy</t>
  </si>
  <si>
    <t>Celkové přírůstkové provozní náklady infrastruktury</t>
  </si>
  <si>
    <t>Total incremental operating costs of infrastructure</t>
  </si>
  <si>
    <t>Celkové přírůstkové provozní náklady vozidel</t>
  </si>
  <si>
    <t>Total incremental operating costs of vessels</t>
  </si>
  <si>
    <t>Celkové invest. náklady bez rezervy</t>
  </si>
  <si>
    <t>Total invest. costs without reserve</t>
  </si>
  <si>
    <t>Zůstatková hodnota (záporná)</t>
  </si>
  <si>
    <t>Residual value (negative)</t>
  </si>
  <si>
    <t>Celkové náklady</t>
  </si>
  <si>
    <t>Total costs</t>
  </si>
  <si>
    <t xml:space="preserve">Cash Flow </t>
  </si>
  <si>
    <t>Cash Flow</t>
  </si>
  <si>
    <t>Discounted rate</t>
  </si>
  <si>
    <t>Diskontované cash flow</t>
  </si>
  <si>
    <t>Discounted cash flow</t>
  </si>
  <si>
    <t>Finanční vnitřní výnosové procento investice FRR/C</t>
  </si>
  <si>
    <t>Financial internal rate of return on investment FRR/C</t>
  </si>
  <si>
    <t>Finanční čistá současná hodnota investice FNPV/C (CZK)</t>
  </si>
  <si>
    <t>Financial net present value of investment FNPV/C (CZK)</t>
  </si>
  <si>
    <t>Finanční čistá současná hodnota investice FNPV/C (EUR)</t>
  </si>
  <si>
    <t>Financial net present value of investment FNPV/C (EUR)</t>
  </si>
  <si>
    <t>Finanční analýza se provádí pro infrastrukturu</t>
  </si>
  <si>
    <t>Financial analysis is carried out for infrastructure</t>
  </si>
  <si>
    <t>Do konsolidované finanční analýzy jsou zahrnutyprovozní náklady vozidel</t>
  </si>
  <si>
    <t>Operating costs of vehicles are included into consolidated financial analysis</t>
  </si>
  <si>
    <t>11 KF</t>
  </si>
  <si>
    <t>11 CF</t>
  </si>
  <si>
    <t>Konverzní faktor - INVESTIČNÍ NÁKLADY</t>
  </si>
  <si>
    <t>Conversion factor - INVESTMENT COSTS</t>
  </si>
  <si>
    <t>Zastoupení složky pro konverzní faktor [%]</t>
  </si>
  <si>
    <t>Share of item for conversion factor [%]</t>
  </si>
  <si>
    <t>PRÁCE</t>
  </si>
  <si>
    <t>LABOUR</t>
  </si>
  <si>
    <t>MATERIÁL</t>
  </si>
  <si>
    <t>MATERIAL</t>
  </si>
  <si>
    <t>ENERGIE + PH</t>
  </si>
  <si>
    <t>ENERGY + FUEL</t>
  </si>
  <si>
    <t>POZEMKY</t>
  </si>
  <si>
    <t>LAND</t>
  </si>
  <si>
    <t>KF (bez ziskové marže)</t>
  </si>
  <si>
    <t>CF (without profit margin)</t>
  </si>
  <si>
    <t>kvalifikovaná</t>
  </si>
  <si>
    <t>qualified</t>
  </si>
  <si>
    <t>nekvalifikovaná</t>
  </si>
  <si>
    <t>unqualified</t>
  </si>
  <si>
    <t>IT (SW, HW)</t>
  </si>
  <si>
    <t>sypké hmoty, beton…</t>
  </si>
  <si>
    <t>bulk materials, concrete…</t>
  </si>
  <si>
    <t>konstrukce</t>
  </si>
  <si>
    <t>structures</t>
  </si>
  <si>
    <t>ŽELEZNIČNÍ INFRASTRUKTURA</t>
  </si>
  <si>
    <t xml:space="preserve">RAILWAY INFRASTRUCTURE </t>
  </si>
  <si>
    <t>ZÁKLADNÍ ROZPOČTOVÉ NÁKLADY</t>
  </si>
  <si>
    <t>BASIC BUDGET COSTS</t>
  </si>
  <si>
    <t>VEDLEJŠÍ ROZP. NÁKLADY</t>
  </si>
  <si>
    <t>SECONDARY BUDGET COSTS</t>
  </si>
  <si>
    <t>Environmental protection facilities</t>
  </si>
  <si>
    <t>Přípravná a projektová dokumentace, průzkumy</t>
  </si>
  <si>
    <t>Preparatory and design documentation, surveys</t>
  </si>
  <si>
    <t>Výkupy pozemků a nemovitostí</t>
  </si>
  <si>
    <t>Purchases of land and properties</t>
  </si>
  <si>
    <t>Obrusná vrstva</t>
  </si>
  <si>
    <t>Wearing course</t>
  </si>
  <si>
    <t>Ložná vrstva</t>
  </si>
  <si>
    <t>Base course</t>
  </si>
  <si>
    <t>Underlying layers</t>
  </si>
  <si>
    <t xml:space="preserve">Mosty </t>
  </si>
  <si>
    <t xml:space="preserve">Bridges  </t>
  </si>
  <si>
    <t>Hrubé hydrotechnické konstrukce</t>
  </si>
  <si>
    <t>Rough hydro-technical structures</t>
  </si>
  <si>
    <t>Ocelové konstrukce</t>
  </si>
  <si>
    <t>Steel structures</t>
  </si>
  <si>
    <t xml:space="preserve">Buildings  </t>
  </si>
  <si>
    <t>Engineering objects (pipes and cables)</t>
  </si>
  <si>
    <t>Úpravy vodního toku a terénní úpravy</t>
  </si>
  <si>
    <t>Water course adjustment and landscaping</t>
  </si>
  <si>
    <t>Konverzní faktor -PROVOZNÍ NÁKLADY</t>
  </si>
  <si>
    <t>Conversion factor - OPERATING COSTS</t>
  </si>
  <si>
    <t>provozuschopnost - OPRAVY A ÚDRŽBA</t>
  </si>
  <si>
    <t>operability - REPAIRS AND MAINTENANCE</t>
  </si>
  <si>
    <t>Mosty a tunely</t>
  </si>
  <si>
    <t>Bridges and tunnels</t>
  </si>
  <si>
    <t>Provozní budovy</t>
  </si>
  <si>
    <t>Operation buildings</t>
  </si>
  <si>
    <t>Traťové hospodářství</t>
  </si>
  <si>
    <t>Line management</t>
  </si>
  <si>
    <t>Zab. a sděl. zařízení</t>
  </si>
  <si>
    <t>Signaling and telecommunications equipment</t>
  </si>
  <si>
    <t>Elektrotechnika a energo</t>
  </si>
  <si>
    <t>Electrical and energy</t>
  </si>
  <si>
    <t>provozuschopnost - REINVESTICE</t>
  </si>
  <si>
    <t>operability - REINVESTMENTS</t>
  </si>
  <si>
    <t>provozování - ŘÍZENÍ DOPRAVY</t>
  </si>
  <si>
    <t>operability - TRAFFIC MANAGEMENT</t>
  </si>
  <si>
    <t>Dozorčí provozu - vedoucí směny</t>
  </si>
  <si>
    <t>Hradlař-hláskař</t>
  </si>
  <si>
    <t>Block signalman-announcer</t>
  </si>
  <si>
    <t>Hradlař-hláskař s prodejem jízdenek</t>
  </si>
  <si>
    <t>Block signalman-announcer with ticket sale</t>
  </si>
  <si>
    <t>Dělník v dopravě - staniční dělník</t>
  </si>
  <si>
    <t>provozní NÁKLADY VLAKŮ</t>
  </si>
  <si>
    <t>operating COSTS of TRAINS</t>
  </si>
  <si>
    <t>Náklady na pořízení vozidel</t>
  </si>
  <si>
    <t>Costs of acquisition of vehicles</t>
  </si>
  <si>
    <t>Náklady na údržbu a opravy vozidel</t>
  </si>
  <si>
    <t>Cost of maintenance and repairs of vehicles</t>
  </si>
  <si>
    <t>Náklady na energii</t>
  </si>
  <si>
    <t>Energy costs</t>
  </si>
  <si>
    <t>Náklady na mzdy</t>
  </si>
  <si>
    <t>Wage costs</t>
  </si>
  <si>
    <t>Náklady na správu a režii</t>
  </si>
  <si>
    <t>Costs of administration and overhead</t>
  </si>
  <si>
    <t>Jiné neuvedené náklady</t>
  </si>
  <si>
    <t>Other unspecified costs</t>
  </si>
  <si>
    <t>Road</t>
  </si>
  <si>
    <t>Dálnice</t>
  </si>
  <si>
    <t>Motorway</t>
  </si>
  <si>
    <t>Vodní cesta</t>
  </si>
  <si>
    <t>Waterway</t>
  </si>
  <si>
    <t>Zdymadla</t>
  </si>
  <si>
    <t>Lock</t>
  </si>
  <si>
    <t>Náklady na pořízení plavidel</t>
  </si>
  <si>
    <t>Costs of acquisition of vessels</t>
  </si>
  <si>
    <t>Náklady na údržbu a opravy plavidel</t>
  </si>
  <si>
    <t>Cost of maintenance and repairs of vessels</t>
  </si>
  <si>
    <t>ZÁKLADNÍ HODNOTY KF JEDNOTLIVÝCH NÁKLADOVÝCH SLOŽEK</t>
  </si>
  <si>
    <t>BASIC CF VALUES FOR INDIVIDUAL COST ITEMS</t>
  </si>
  <si>
    <t>nákladová složka</t>
  </si>
  <si>
    <t>cost item</t>
  </si>
  <si>
    <t>PRÁCE - kvalifikovaná</t>
  </si>
  <si>
    <t>LABOUR - qualified</t>
  </si>
  <si>
    <t>PRÁCE - nekvalifikovaná</t>
  </si>
  <si>
    <t>LABOUR - unqualified</t>
  </si>
  <si>
    <t>MATERIÁL - informační technologie</t>
  </si>
  <si>
    <t>MATERIAL - information technology</t>
  </si>
  <si>
    <t>MATERIÁL - stavební sypké hmoty (vč. betonu)</t>
  </si>
  <si>
    <t>MATERIAL - bulk construction materials (incl. concrete)</t>
  </si>
  <si>
    <t>MATERIÁL - konstrukce</t>
  </si>
  <si>
    <t>MATERIAL - structures</t>
  </si>
  <si>
    <t>ENERGIE A POHONNÉ HMOTY</t>
  </si>
  <si>
    <t>ENERGY AND FUEL</t>
  </si>
  <si>
    <t>Ostatní (SKF)</t>
  </si>
  <si>
    <t>Other (SCF)</t>
  </si>
  <si>
    <t>Zisková MARŽE</t>
  </si>
  <si>
    <t>Profit MARGIN</t>
  </si>
  <si>
    <t>stavební práce (IN)</t>
  </si>
  <si>
    <t>construction works (IN)</t>
  </si>
  <si>
    <t>informační technologie</t>
  </si>
  <si>
    <t>information technology</t>
  </si>
  <si>
    <t>údržbové práce</t>
  </si>
  <si>
    <t>maintenance works</t>
  </si>
  <si>
    <t>CF</t>
  </si>
  <si>
    <t>Konverzní faktor -VÝSLEDNÁ HODNOTA</t>
  </si>
  <si>
    <t>Conversion factor - RESULTING VALUE</t>
  </si>
  <si>
    <t>Položka</t>
  </si>
  <si>
    <t>Item</t>
  </si>
  <si>
    <t>INVESTIČNÍ NÁKLADY</t>
  </si>
  <si>
    <t>INVESTMENT COSTS</t>
  </si>
  <si>
    <t>PROVOZNÍ NÁKLADY
železniční infrastruktura</t>
  </si>
  <si>
    <t>OPERATING COSTS railway infrastructure</t>
  </si>
  <si>
    <t>PROVOZNÍ NÁKLADY silniční infrastruktura</t>
  </si>
  <si>
    <t>OPERATING COSTS road infrastructure</t>
  </si>
  <si>
    <t>PROVOZNÍ NÁKLADY
vodní infrastruktura</t>
  </si>
  <si>
    <t>OPERATING COSTS water infrastructure</t>
  </si>
  <si>
    <t>železniční infrastruktura</t>
  </si>
  <si>
    <t>railway infrastructure</t>
  </si>
  <si>
    <t>silniční infrastruktura</t>
  </si>
  <si>
    <t>road infrastructure</t>
  </si>
  <si>
    <t>vodní infrastruktura</t>
  </si>
  <si>
    <t>water infrastructure</t>
  </si>
  <si>
    <t>opravy a údržba</t>
  </si>
  <si>
    <t xml:space="preserve">repairs and maintenance  </t>
  </si>
  <si>
    <t>reinvestice</t>
  </si>
  <si>
    <t>reinvestments</t>
  </si>
  <si>
    <t>řízení dopravy</t>
  </si>
  <si>
    <t>traffic management</t>
  </si>
  <si>
    <t>provozní náklady vlaků</t>
  </si>
  <si>
    <t>operating costs of trains</t>
  </si>
  <si>
    <t>Konverzní faktor může být stanoven výpočtem pro konkrétní projekt v souladu s pokyny v kapitole 5.1.3 Rezortní metodiky, případně lze použít obecné doporučené hodnoty (tabulka 11.3.)</t>
  </si>
  <si>
    <t>The conversion factor can be determined by calculation for a specific project according to the instructions in chapter 5.1.3 of the Departmental Guideline, or the general recommended values (table 11.3.) can be used.</t>
  </si>
  <si>
    <t>provozní náklady plavidel</t>
  </si>
  <si>
    <t>operating costs of vessels</t>
  </si>
  <si>
    <t>Comment</t>
  </si>
  <si>
    <t>12 Ekonomická analýza (ERR)</t>
  </si>
  <si>
    <t>12 Economic analysis (ERR)</t>
  </si>
  <si>
    <t>Celkem PN infrastruktury železnice - úspora</t>
  </si>
  <si>
    <t>Total OC of railway infrastructure - savings</t>
  </si>
  <si>
    <t>Celkem PN infrastruktura silnice - úspora</t>
  </si>
  <si>
    <t>Total OC of road infrastructure - savings</t>
  </si>
  <si>
    <t>Celkem PN infrastruktura voda - úspora</t>
  </si>
  <si>
    <t>Total OC of water infrastructure - savings</t>
  </si>
  <si>
    <t>Celkem PN vozidel železnice - úspora</t>
  </si>
  <si>
    <t>Total OC of railway vehicles - savings</t>
  </si>
  <si>
    <t>Celkem PN vozidel silnice - úspora</t>
  </si>
  <si>
    <t>Total OC of road vehicles - savings</t>
  </si>
  <si>
    <t>Celkem PN plavidel - úspora</t>
  </si>
  <si>
    <t>Total OC of vessels - savings</t>
  </si>
  <si>
    <t>Celkem úspory z cestovních dob</t>
  </si>
  <si>
    <t>Celkem externality</t>
  </si>
  <si>
    <t>Total externalities</t>
  </si>
  <si>
    <t>Celkem přínosy osobní rekreační plavby</t>
  </si>
  <si>
    <t>Total benefits from passenger recreational water transport</t>
  </si>
  <si>
    <t>Ostatní přínosy</t>
  </si>
  <si>
    <t>Other benefits</t>
  </si>
  <si>
    <t>Celkové příjmy</t>
  </si>
  <si>
    <t>Total revenue</t>
  </si>
  <si>
    <t>Celkem investiční náklady bez rezervy</t>
  </si>
  <si>
    <t xml:space="preserve">Total investment costs without reserve  </t>
  </si>
  <si>
    <t>Diskontní cash flow</t>
  </si>
  <si>
    <t>Discount cash flow</t>
  </si>
  <si>
    <t>Ekonomická analýza (CZK)</t>
  </si>
  <si>
    <t>Economic analysis (CZK)</t>
  </si>
  <si>
    <t>Pro správné použití konverzního faktoru je nutné vybrat v buňce T43 typ investice dle dopravního módu. Pokud se jedná o kombinaci, je nutné stanovit konverzní faktor pro konkrétní projekt nebo zvolit převládající dopravní mód z hlediska výše nákladů.</t>
  </si>
  <si>
    <t>Ekonomické vnitřní výnosové procento ERR</t>
  </si>
  <si>
    <t>Economic internal rate of return ERR</t>
  </si>
  <si>
    <t>For correct use of the conversion factor, it is necessary to select the type of investment by the transport mode in cell T43. If it is a combination, the conversion factor must be set for the specific project, or the transport mode prevalent from the point of view of costs must be selected.</t>
  </si>
  <si>
    <t>Ekonomická čistá současná hodnota ENPV (CZK)</t>
  </si>
  <si>
    <t>Economic net present value ENPV (CZK)</t>
  </si>
  <si>
    <t>Rentabilita nákladů</t>
  </si>
  <si>
    <t>Profitability of costs</t>
  </si>
  <si>
    <t>Mohou být zahrnuty i jiné přínosy a náklady dle konkrétního projektu (v takovém případě je nutné propojit řádek 13. resp. 33 s listem '9 Ostatní přínosy EA')</t>
  </si>
  <si>
    <t>Ekonomická čistá současná hodnota ENPV (EUR)</t>
  </si>
  <si>
    <t>Economic net present value ENPV (EUR)</t>
  </si>
  <si>
    <t>Other benefits and costs may also be included depending in the specific project (in such case, the row 13. or 33, must be connected with sheet "9 Other benefits of EA")</t>
  </si>
  <si>
    <t>Investiční náklady jsou vynaloženy na infrastrukturu</t>
  </si>
  <si>
    <t>Investment costs are spent on infrastructure</t>
  </si>
  <si>
    <t>13 Kontrola dotací</t>
  </si>
  <si>
    <t>13 Subsidy control</t>
  </si>
  <si>
    <t>S projektem</t>
  </si>
  <si>
    <t>With project</t>
  </si>
  <si>
    <t>Náklady na údržbu a opravy</t>
  </si>
  <si>
    <t>Repair and maintenance costs</t>
  </si>
  <si>
    <t>Náklady na řízení provozu</t>
  </si>
  <si>
    <t xml:space="preserve">Traffic management costs  </t>
  </si>
  <si>
    <t>Příjmy z poplatků za dopravní cestu (případně jízdné)*</t>
  </si>
  <si>
    <t>Revenues from infrastructure fees (possibly fare income)*</t>
  </si>
  <si>
    <t>* příjmy získané přímo od uživatelů, v souladu s čl. 61 (Operace, které po dokončení vytvářejí čistý příjem) Nařízení (EU) č. 1303/2013 a přílohou V Nařízení (EU) č. 1303/2013 a oddílem III Nařízení Komise v přenesené pravomoci (EU) č. 480/2014, v němž jsou stanovena pravidla pro výpočet</t>
  </si>
  <si>
    <t>Provozní dotace</t>
  </si>
  <si>
    <t>Operating subsidy</t>
  </si>
  <si>
    <t>* the revenues paid directly by users, in accordance with art. 61 (Operations that after conclusion create net profit) Regulation (EU) no. 1303/2013 and annex in Regulation (EU) no. 1303/2013 and section III of Commission Delegated Regulation (EU), where the rules for calculation are specified</t>
  </si>
  <si>
    <t>Bez projektu</t>
  </si>
  <si>
    <t>Without project</t>
  </si>
  <si>
    <t>diskontovaného čistého příjmu z operací vytvářejících čistý příjem</t>
  </si>
  <si>
    <t>Redukce dotací</t>
  </si>
  <si>
    <t>Reduction in subsidies</t>
  </si>
  <si>
    <t>discounted net revenue from operations that create net revenue</t>
  </si>
  <si>
    <t>Redukce přírůstkových provozních nákladů</t>
  </si>
  <si>
    <t>Reduction in incremental operating costs</t>
  </si>
  <si>
    <t>Redukce provozních dotací</t>
  </si>
  <si>
    <t>Reduction of operating subsidies</t>
  </si>
  <si>
    <t>** rozdíl mezi poklesem provozních nákladů a poklesem provozních dotací</t>
  </si>
  <si>
    <t>Je snížení prov. nákladů plně kompenzováno snížením dotací</t>
  </si>
  <si>
    <t>Is the reduction in operat. costs fully compensated by reduction in subsidies</t>
  </si>
  <si>
    <t>** the difference between reduction in operating costs and reduction in operating subsidies</t>
  </si>
  <si>
    <t>Čistá úspora provozních nákladů**</t>
  </si>
  <si>
    <t>Net savings of operating costs**</t>
  </si>
  <si>
    <t>ANO</t>
  </si>
  <si>
    <t>YES</t>
  </si>
  <si>
    <t>NE</t>
  </si>
  <si>
    <t>NO</t>
  </si>
  <si>
    <t>14 Mezera ve financování</t>
  </si>
  <si>
    <t xml:space="preserve">14 Gap in financing </t>
  </si>
  <si>
    <t>Kalkulace finanční mezery a přidělení</t>
  </si>
  <si>
    <t>Financial gap calculation and allocation</t>
  </si>
  <si>
    <t>grantu EU (CZK)</t>
  </si>
  <si>
    <t>of EU grant (CZK)</t>
  </si>
  <si>
    <t>Investiční náklady (DIC) (z FA)</t>
  </si>
  <si>
    <t>Investment costs (DIC) (from FA)</t>
  </si>
  <si>
    <t>Přírůstkové celkové provozní příjmy**</t>
  </si>
  <si>
    <t>Total incremental operation revenue**</t>
  </si>
  <si>
    <t>Přírůstkové celkové provozní náklady*</t>
  </si>
  <si>
    <t>Total incremental operating costs*</t>
  </si>
  <si>
    <t>Čisté provozní příjmy</t>
  </si>
  <si>
    <t>Net operation revenue</t>
  </si>
  <si>
    <t>Zůstatková hodnota investice</t>
  </si>
  <si>
    <t>Residual value of investment</t>
  </si>
  <si>
    <t>Diskontní faktor</t>
  </si>
  <si>
    <t>Discount factor</t>
  </si>
  <si>
    <t>Úspora provozních nákladů*</t>
  </si>
  <si>
    <t>Operating cost savings*</t>
  </si>
  <si>
    <t>* v případě vynechání dle čl. 61 Nařízení (EU) č. 1303/2013, musí být poskytnuta ukázka úměrného snížení dotací na základě shody s hodnotami cash-flow z tabulky "Provozní náklady"</t>
  </si>
  <si>
    <t>Celkem (disk.)</t>
  </si>
  <si>
    <t>Total (disc.)</t>
  </si>
  <si>
    <t>* if left blank, a demonstration of corresponding reduction in subsidies based on corresponding values of cash-flow from table "Operating costs" must be provided in accordance with art. 61 of Regulation (EU) no. 1303/2013</t>
  </si>
  <si>
    <t>Kalkulace veřejného příspěvku (CZK) - stálé ceny</t>
  </si>
  <si>
    <t>Calculation of public contribution - constant prices</t>
  </si>
  <si>
    <t>Způsobilé náklady***</t>
  </si>
  <si>
    <t>Ineligible costs***</t>
  </si>
  <si>
    <t>** příjmy získané přímo od uživatelů,  čl. 61 Nařízení (EU) č. 1303/2013 a příloha V Nařízení (EU) č. 1303/2013 a oddíl III Nařízení Komise v přenesené pravomoci (EU) č. 480/2014</t>
  </si>
  <si>
    <t>Míra finanční mezery ((DIC bez rezervy- čisté příjmy)/DIC bez rezervy)</t>
  </si>
  <si>
    <t>Financial gap rate ((DIC without reserve- net revenue)/DIC without reserve)</t>
  </si>
  <si>
    <t>** revenues paid directly by users, art. 61 of Regulation (EU) no. 1303/2013 and annex of Regulation (EU) no. 1303/2013 and section III from Commission Delegated Regulation (EU) no. 480/2014</t>
  </si>
  <si>
    <t>Rozhodná částka (způsobilé náklady*R)</t>
  </si>
  <si>
    <t>Decisive amount (eligible costs*R)</t>
  </si>
  <si>
    <t>Míra spolufinancování prioritních os (%)</t>
  </si>
  <si>
    <t>Level of co-financing of priority os (%)</t>
  </si>
  <si>
    <t>*** jedná se o procentuální odhad způsobilých nákladů ve stálých cenách, který vychází ze skutečného poměru způsobilých a nezpůsobilých nákladů v běžných cenách z tabulky způsobilosti nákladů (list "1 Celkové investiční náklady" tabulka 1.2)</t>
  </si>
  <si>
    <t>Příspěvek Společenství</t>
  </si>
  <si>
    <t>Contribution of Union</t>
  </si>
  <si>
    <t>*** this is a percentage estimate of eligible costs in standard prices that is based on the actual ratio of eligible and ineligible costs in common prices from table of costs eligibility (sheet "1 Total investment costs" table 1.2)</t>
  </si>
  <si>
    <t>Způsobilé náklady</t>
  </si>
  <si>
    <t>Eligible costs</t>
  </si>
  <si>
    <t>Kalkulace veřejného příspěvku (CZK) - běžné ceny</t>
  </si>
  <si>
    <t>Calculation of public contribution - common prices</t>
  </si>
  <si>
    <t>Tento list se neaplikuje v případě projektů silniční infrastruktury. V případě projektů městské dopravy a jiných s odlišnou dotační politikou je možné upravit ručně příslušná pole v tabulkách výše.</t>
  </si>
  <si>
    <t>This sheet does not apply in cases of road infrastructure projects. In the case of urban transport projects and other projects with different subsidy policies, it is possible to adjust the relevant fields in the tables above manually.</t>
  </si>
  <si>
    <t>15 Finanční struktura</t>
  </si>
  <si>
    <t>15 Financial structure</t>
  </si>
  <si>
    <t>Zdroje financování projektu (CZK)</t>
  </si>
  <si>
    <t>Sources for project financing (CZK)</t>
  </si>
  <si>
    <t>V případě projektů silniční infrastruktury se po nastavení buňky I51 vypočítá mezera ve financování v tabulce 14.4.</t>
  </si>
  <si>
    <t>Konstantní ceny</t>
  </si>
  <si>
    <t>Constant prices</t>
  </si>
  <si>
    <t>In cases of road infrastructure projects is funding gap calculated after setting of cell I51 in table 14.4.</t>
  </si>
  <si>
    <t>Vlastní zdroje</t>
  </si>
  <si>
    <t>Own resources</t>
  </si>
  <si>
    <t>Ostatní zdroje</t>
  </si>
  <si>
    <t xml:space="preserve">Other resources </t>
  </si>
  <si>
    <t>Celkové zdroje žadatele</t>
  </si>
  <si>
    <t>Applicant's total resources</t>
  </si>
  <si>
    <t>Úvěr (poskytnutý státní správou)</t>
  </si>
  <si>
    <t>Loan (provided by state administration)</t>
  </si>
  <si>
    <t>Zdroje státního rozpočtu</t>
  </si>
  <si>
    <t>State Budget resources</t>
  </si>
  <si>
    <t>Národní zdroje</t>
  </si>
  <si>
    <t>National resources</t>
  </si>
  <si>
    <t>Granty EU</t>
  </si>
  <si>
    <t>EU grants</t>
  </si>
  <si>
    <t xml:space="preserve">Celkové finanční zdroje (bez rezervy) </t>
  </si>
  <si>
    <t>Total financial resources (without a reserve)</t>
  </si>
  <si>
    <t>Rezerva - vlastní zdroje</t>
  </si>
  <si>
    <t>Reserve - own resources</t>
  </si>
  <si>
    <t>Rezerva - EU granty</t>
  </si>
  <si>
    <t>Reserve - EU grants</t>
  </si>
  <si>
    <t>Rezerva celkem</t>
  </si>
  <si>
    <t>Total reserve</t>
  </si>
  <si>
    <t>Celkové finanční zdroje</t>
  </si>
  <si>
    <t xml:space="preserve">Total financial resources  </t>
  </si>
  <si>
    <t xml:space="preserve">Total </t>
  </si>
  <si>
    <t>Běžné ceny</t>
  </si>
  <si>
    <t>Common prices</t>
  </si>
  <si>
    <t>* kontrola souladu celk. finančních zdrojů s celk. investičními náklady</t>
  </si>
  <si>
    <t>* inspection of agreement between total financial resources and total investment costs</t>
  </si>
  <si>
    <t>Kontrolní suma*</t>
  </si>
  <si>
    <t>Control amount*</t>
  </si>
  <si>
    <t>OK</t>
  </si>
  <si>
    <t>CHYBA!</t>
  </si>
  <si>
    <t>ERROR!</t>
  </si>
  <si>
    <t>16 Udržitelnost</t>
  </si>
  <si>
    <t>16  Sustainability</t>
  </si>
  <si>
    <t>Udržitelnost projektu (CZK)</t>
  </si>
  <si>
    <t>Project sustainability (CZK)</t>
  </si>
  <si>
    <t>Stálé ceny</t>
  </si>
  <si>
    <t>Provozní příjmy</t>
  </si>
  <si>
    <t>Operating revenues</t>
  </si>
  <si>
    <t>Úvěry</t>
  </si>
  <si>
    <t>Loans</t>
  </si>
  <si>
    <t>Dotace</t>
  </si>
  <si>
    <t>Subsidies</t>
  </si>
  <si>
    <t>Celkové provozní náklady</t>
  </si>
  <si>
    <t xml:space="preserve">Total operating costs  </t>
  </si>
  <si>
    <t>Celkové investiční náklady</t>
  </si>
  <si>
    <t xml:space="preserve">Total investment costs   </t>
  </si>
  <si>
    <t>Splácení jistiny úvěru</t>
  </si>
  <si>
    <t>Payment of loan principal</t>
  </si>
  <si>
    <t>Splácení úroků z úvěru</t>
  </si>
  <si>
    <t xml:space="preserve">Payment of loan interest </t>
  </si>
  <si>
    <t>Celkové výdaje</t>
  </si>
  <si>
    <t>Cash Flow pro příslušný rok</t>
  </si>
  <si>
    <t>Cash Flow for the relevant year</t>
  </si>
  <si>
    <t xml:space="preserve">Kumulované Cash Flow </t>
  </si>
  <si>
    <t>Cumulated Cash Flow</t>
  </si>
  <si>
    <t>17 FRR_K</t>
  </si>
  <si>
    <t>kapitálu - FRR/K (CZK)</t>
  </si>
  <si>
    <t>on capital - FRR/K(CZK)</t>
  </si>
  <si>
    <t>Zůstatková hodnota</t>
  </si>
  <si>
    <t>Residual value</t>
  </si>
  <si>
    <t>Přírůstek celkových provozních příjmů</t>
  </si>
  <si>
    <t>Increment of total operating revenues</t>
  </si>
  <si>
    <t>Increment of total operating costs*</t>
  </si>
  <si>
    <t>Příspěvky žadatele + národní zdroje</t>
  </si>
  <si>
    <t>Applicant's contribution + national resources</t>
  </si>
  <si>
    <t>Finanční vniřní výnosové procento kapitálu FRR/K**</t>
  </si>
  <si>
    <t>Financial internal rate of return on capital FRR/K**</t>
  </si>
  <si>
    <t>Finanční čistá současná hodnota kapitálu FNPV/K (CZK)</t>
  </si>
  <si>
    <t>Financial net present value of capital FNPV/K (CZK)</t>
  </si>
  <si>
    <t>Finanční čistá současná hodnota kapitálu FNPV/K (EUR)</t>
  </si>
  <si>
    <t>Financial net present value of capital FNPV/K (EUR)</t>
  </si>
  <si>
    <t>* čistá úspora prov. nákladů po odečtení úspory dotace (dle listu 6)</t>
  </si>
  <si>
    <t>* net savings of operat. costs after deduction of subsidy savings (according to sheet 6)</t>
  </si>
  <si>
    <t>** pokud se zobrazí "CHYBA", zkonrolujte list 15 Finanční struktura</t>
  </si>
  <si>
    <t>** if an "ERROR" is displayed, check sheet 15 Financial structure</t>
  </si>
  <si>
    <t>Základní varianta = Bez projektu</t>
  </si>
  <si>
    <t>Basic variant = Without project</t>
  </si>
  <si>
    <t>Návrhová varianta = Projektová</t>
  </si>
  <si>
    <t>Proposed variant = With project</t>
  </si>
  <si>
    <t>hodnoty z výstupu "Project Cash Flow Summary (Discounted)"</t>
  </si>
  <si>
    <t>values from "Project Cash Flow Summary (Discounted)" output</t>
  </si>
  <si>
    <t>ext_var_0 diskontované</t>
  </si>
  <si>
    <t>ext_var_0 discounted</t>
  </si>
  <si>
    <t>ext_var_1 diskontované</t>
  </si>
  <si>
    <t>ext_var_1 discounted</t>
  </si>
  <si>
    <t xml:space="preserve">Správce </t>
  </si>
  <si>
    <t>Manager</t>
  </si>
  <si>
    <t>Provozní</t>
  </si>
  <si>
    <t>Operating</t>
  </si>
  <si>
    <t xml:space="preserve">Cestovní čas </t>
  </si>
  <si>
    <t>Travel time</t>
  </si>
  <si>
    <t>VSTUPY z HDM-4 a EXNAD - finanční toky</t>
  </si>
  <si>
    <t>INPUTS from HDM-4 and EXNAD - financial flows</t>
  </si>
  <si>
    <t xml:space="preserve">Do žlutých polí uživatel vkládá výstupní data z výpočtu v HDM-4 a EXNAD v uvedených jednotkách. Přepočet dále proběhne automaticky v příslušných listech. Kromě nastavení základních parametrů výpočtu v listu "0 Úvod", je třeba vložit ještě investiční náklady v letech a správném členění do listů "1 CIN" a "2 ZH" </t>
  </si>
  <si>
    <t>The author fills in the output data from calculations in HDM-4 and EXNAD in the specified units into the yellow cells. The conversion is carried out automatically in the relevant sheets. Apart from setting the basic parameters for the calculation in sheet "0 Introduction", it is also necessary to enter the investment</t>
  </si>
  <si>
    <t>Varianta bez projektu</t>
  </si>
  <si>
    <t>No-project variant</t>
  </si>
  <si>
    <t>Varianta s projektem</t>
  </si>
  <si>
    <t>Project variant</t>
  </si>
  <si>
    <t>(v jednotkách Kč!), nastavit správně hodnotu koeficientu růstu úspor času a externalit v prvním roce hodnocení v tabulkách 5.8. v listu "5 Úspory času" a 6.19. v listu "6 Externality" a vyplnit řádky 239 a 242 v tabulce 6.6.a.1 (aktuální cenová úroveň sazeb CO2). V listu "6 Externality" probíhá i výpočet pro nákladní dopravu</t>
  </si>
  <si>
    <t>Ostatní znečistění</t>
  </si>
  <si>
    <t>Other emissions</t>
  </si>
  <si>
    <t>costs for each year and divided corrently into sheets "1 TIC" and "2 RV" (in units of CZK!), set the correct value of coeficients for growth of time savings and externalities in the first year of evaluation in tables 5.8. in sheet "5 Time savings" and 6.19. in sheet "6 Externalities" and fill in rows 239 and 242 in Table 6.6.a.1</t>
  </si>
  <si>
    <t>v tabulkách pro osobní dopravu, protože výstup z HDM-4 a EXNAD osobní a nákladní dopravu nerozlišuje. Hodnoty množství exhalací v tunách je možné zjistit přímo z výstupů výpočtu EXNAD, v CBA tabulkách nejsou uvedeny. Výstupy pro CO2 z výpočtu EXNAD je nutné zadávat vždy v tunách!</t>
  </si>
  <si>
    <t>(current CO2 price level). In the sheet "6 Externalities", a calculation for freight transport is carried out in tables for passenger transport, because the output from HDM-4 and EXNAD does not distinguish between passenger and freight transport. The amount of exhalations in tonnes can be found directly in the</t>
  </si>
  <si>
    <r>
      <t>Emise CO</t>
    </r>
    <r>
      <rPr>
        <vertAlign val="subscript"/>
        <sz val="10"/>
        <rFont val="Calibri"/>
        <family val="2"/>
        <charset val="238"/>
      </rPr>
      <t>2</t>
    </r>
    <r>
      <rPr>
        <sz val="10"/>
        <rFont val="Calibri"/>
        <family val="2"/>
        <charset val="238"/>
      </rPr>
      <t xml:space="preserve"> [t]</t>
    </r>
  </si>
  <si>
    <r>
      <t>Emissions CO</t>
    </r>
    <r>
      <rPr>
        <vertAlign val="subscript"/>
        <sz val="10"/>
        <rFont val="Calibri"/>
        <family val="2"/>
        <charset val="238"/>
      </rPr>
      <t>2</t>
    </r>
    <r>
      <rPr>
        <sz val="10"/>
        <rFont val="Calibri"/>
        <family val="2"/>
        <charset val="238"/>
      </rPr>
      <t xml:space="preserve"> [tonnes]</t>
    </r>
  </si>
  <si>
    <t xml:space="preserve">diskontované fin. toky v mil. Kč, CÚ </t>
  </si>
  <si>
    <t>discounted fin. flows in mil. CZK, PL</t>
  </si>
  <si>
    <t>EXNAD calculation must always be entered in tonnes!</t>
  </si>
  <si>
    <t>Cost of usual maintenance of OTHER infrastructure</t>
  </si>
  <si>
    <t>Cost of repair of OTHER infrastructure</t>
  </si>
  <si>
    <t>Náklady na provoz MĚSTSKÝCH AUTOBUSŮ</t>
  </si>
  <si>
    <t>Costs of CITY BUSES operation</t>
  </si>
  <si>
    <t>Náklady na provoz TRAMVAJÍ, TROLEJBUSŮ, METRA</t>
  </si>
  <si>
    <t>Costs of TRAM, TROLLEY, UNDERGROUND operation</t>
  </si>
  <si>
    <t>Celkem PN infrastruktura ostatní - úspora</t>
  </si>
  <si>
    <t xml:space="preserve">Total OC of other infrastructure - savings </t>
  </si>
  <si>
    <t>Celkem PN vozidel MHD (vč. městský BUS) - úspora</t>
  </si>
  <si>
    <t>Total OC of PuT (incl. city bus) vehicles - savings</t>
  </si>
  <si>
    <t xml:space="preserve">Ocelové konstrukce (portálový jeřáb) </t>
  </si>
  <si>
    <t>Steel structures (gantry crane)</t>
  </si>
  <si>
    <t xml:space="preserve">Manipulační technika (překladače) </t>
  </si>
  <si>
    <t>Handling equipment (transshipment equipment)</t>
  </si>
  <si>
    <t>Ocelové konstrukce (portálový jeřáb) ****</t>
  </si>
  <si>
    <t>Steel structures (gantry crane) ****</t>
  </si>
  <si>
    <t>Manipulační technika (překladače) ****</t>
  </si>
  <si>
    <t>Handling equipment (transshipment equipment) ****</t>
  </si>
  <si>
    <t>**** obvyklá hodnota, přesnou životnost může zpracovatel stanovit na základě předpokládaného počtu provozních hodin (motohodin) do vyřazení stroje nebo jeho generální opravy</t>
  </si>
  <si>
    <t>**** the usual value, the exact service life can be determined by the author on the basis of the expected number of service hours (engine hours) until decommissioning or general repair of the equipment</t>
  </si>
  <si>
    <t>obsazenost, ložení</t>
  </si>
  <si>
    <t>occupancy, loading</t>
  </si>
  <si>
    <t>osob/vlak</t>
  </si>
  <si>
    <t>passengers/train</t>
  </si>
  <si>
    <t>t/vlak</t>
  </si>
  <si>
    <t>t/train</t>
  </si>
  <si>
    <t>os/vozidlo</t>
  </si>
  <si>
    <t>pass./vehicle</t>
  </si>
  <si>
    <t>t/vozidlo</t>
  </si>
  <si>
    <t>t/vehicle</t>
  </si>
  <si>
    <t>os/plavidlo</t>
  </si>
  <si>
    <t>pass./vessel</t>
  </si>
  <si>
    <t>t/plavidlo</t>
  </si>
  <si>
    <t>t/vessel</t>
  </si>
  <si>
    <t>Nediskontované</t>
  </si>
  <si>
    <t>Undiscounted</t>
  </si>
  <si>
    <t>Diskontované</t>
  </si>
  <si>
    <t>Discounted</t>
  </si>
  <si>
    <t>Výpočet míry finanční mezery (vč. DPH) - SILNIČNÍ INFRASTRUKTURA</t>
  </si>
  <si>
    <t>Financial gap rate calculation (incl. VAT) - ROAD INFRASTRUCTURE</t>
  </si>
  <si>
    <t>Celkové investiční náklady - nediskontované</t>
  </si>
  <si>
    <t>Total investment costs - undiscounted</t>
  </si>
  <si>
    <t>Celkové investiční náklady - diskontované</t>
  </si>
  <si>
    <t>Total investment costs - discounted</t>
  </si>
  <si>
    <t>Zůstatková hodnota - nediskontované</t>
  </si>
  <si>
    <t>Residual value - undiscounted</t>
  </si>
  <si>
    <t>Zůstatková hodnota - diskontované</t>
  </si>
  <si>
    <t>Residual value - discounted</t>
  </si>
  <si>
    <t>Příjmy - diskontované</t>
  </si>
  <si>
    <t>Revenues - discounted</t>
  </si>
  <si>
    <t>Provozní náklady - diskontované</t>
  </si>
  <si>
    <t>Operating costs - discounted</t>
  </si>
  <si>
    <t>Čisté příjmy - diskontované</t>
  </si>
  <si>
    <t>Net revenues - discounted</t>
  </si>
  <si>
    <t>Investiční náklady mínus čisté příjmy - diskont.</t>
  </si>
  <si>
    <t>Investment costs less net revenue - disc.</t>
  </si>
  <si>
    <t>Míra finanční mezery</t>
  </si>
  <si>
    <t>Rate of financial gap</t>
  </si>
  <si>
    <t>Příspěvek Společenství jako podíl způsobilých nákladů</t>
  </si>
  <si>
    <t>Contribution of Union as share of eligible costs</t>
  </si>
  <si>
    <t xml:space="preserve">Způsob stanovení mezery ve financování pro SILNIČNÍ INFRASTRUKTURU: </t>
  </si>
  <si>
    <t>How to determine funding gap for ROAD infrastructure</t>
  </si>
  <si>
    <t>Rutinní a periodická údržba - SILNIČNÍ INFRASTRUKTURA</t>
  </si>
  <si>
    <t>Routine and periodic maintenance - ROAD INFRASTRUCTURE</t>
  </si>
  <si>
    <t>Náklady na provoz SILNIČNÍCH vozidel</t>
  </si>
  <si>
    <t>Operating costs of ROAD vehicles</t>
  </si>
  <si>
    <t>[hodnoty CO2 v tunách]</t>
  </si>
  <si>
    <t>[CO2 values in tonnes]</t>
  </si>
  <si>
    <t>IAD - průměr</t>
  </si>
  <si>
    <t>IAT - average</t>
  </si>
  <si>
    <t>IAD - město</t>
  </si>
  <si>
    <t>IAT - urban</t>
  </si>
  <si>
    <t>BUS - dálkový</t>
  </si>
  <si>
    <t>BUS - coaches</t>
  </si>
  <si>
    <t>BUS - město</t>
  </si>
  <si>
    <t>BUS - urban</t>
  </si>
  <si>
    <t>DIESEL regionální</t>
  </si>
  <si>
    <t>DIESEL suburban</t>
  </si>
  <si>
    <t>DIESEL dálková</t>
  </si>
  <si>
    <t>DIESEL long distance</t>
  </si>
  <si>
    <t>ELEKTRICKÁ regionální</t>
  </si>
  <si>
    <t>ELECTRIC suburban</t>
  </si>
  <si>
    <t>ELEKTRICKÁ dálková</t>
  </si>
  <si>
    <t>ELECTRIC long distance</t>
  </si>
  <si>
    <t>LETECKÁ DOPRAVA [g/letkm]</t>
  </si>
  <si>
    <t>AVIATION [g/plane-km]</t>
  </si>
  <si>
    <t>Pozn.: Pro podrobnější informace ke zdrojovým datům a práci s nimi viz Rezortní metodiku (aktuální dodatek) - poznámky pod tabulkami 8.60, resp. 8.61</t>
  </si>
  <si>
    <t>vnitrostátní</t>
  </si>
  <si>
    <t>domestic</t>
  </si>
  <si>
    <t>Note.: For more detailed information on the source data and how to work with it, see the Departmental Guideline (current appendix) - notes under Tables 8.60 and 8.61, respectively.</t>
  </si>
  <si>
    <t>mezistátní</t>
  </si>
  <si>
    <t>international</t>
  </si>
  <si>
    <t>Zdroj: EIB Project Carbon Footprint Methodologies, Methodologies for the Assessment of Project GHG Emissions and Emission Variations, European Investment Bank, ver.11.2 – 02/2022; Externí náklady dopravy v Evropě, CE Delft , aktualizace 11/2011; dopočet SUDOP</t>
  </si>
  <si>
    <t>VSTUPY z EXNAD - množství škodlivin</t>
  </si>
  <si>
    <t>Source: Zdroj: EIB Project Carbon Footprint Methodologies, Methodologies for the Assessment of Project GHG Emissions and Emission Variations, European Investment Bank, ver.11.2 – 02/2022; External Costs of Transport in Europe, CE Delft 2011, update 11/2011; additional calculations SUDOP</t>
  </si>
  <si>
    <t>Seznam změn v rámci jednotlivých aktualizací</t>
  </si>
  <si>
    <t>verze 1.05 (26. 1. 2018)</t>
  </si>
  <si>
    <t>- provedena oprava chybně zadané hodnoty pro životnost "Inženýrských sítí a komunikací" v silniční infrastruktuře (opraveno v buňce I20 v listu '2 ZH' ze 40 na 20 v souladu s textovou částí Metodiky)</t>
  </si>
  <si>
    <t>- odstraněny zámky některých buněk v oblastech, kam má být možné zapisovat (v různých listech)</t>
  </si>
  <si>
    <t>- opravena chyba ve vzorcích v buňkách E108 - E120 v listu "3 PN Infrastruktury" (násobení při indexování po r. 2020)</t>
  </si>
  <si>
    <t>verze 1.06 (28. 2. 2018)</t>
  </si>
  <si>
    <t>- opravena chyba ve vzorcích v buňkách E108 - E120 v listu "3 PN Infrastruktury" (násobení při indexování po r. 2020 - chybné závorkování)</t>
  </si>
  <si>
    <t>- upravena závislost popisu v buňkách C61, C62 resp. C74, C75 v listu "3 PN Infrastruktury" tak, aby se popis přepnul do režimu silničních projektů i v případě, kdy je v buňce S29 v listu "10 Finanční analýza (FRR_C)" nastavena hodnota "SILNIČNÍ"</t>
  </si>
  <si>
    <t>- aktualizovány makroekonomické hodnoty v listu "0 Úvod" v souladu s hodnotami dostupnými ve Zprávě o inflaci I/2018 (ČNB)</t>
  </si>
  <si>
    <t>verze 1.07 (4. 5. 2018)</t>
  </si>
  <si>
    <t>- opravena chyba v pomocných skrytých vzorcích v buňkách F23 - T23 resp. F45 - T45 (pro výpočet zůstatkové hodnoty v ekonomické analýze) listu "12 Ekonomická analýza (ERR)" - vzorec byl doplněn tak, aby fungoval správně i pro volbu "OSTATNÍ" v buňce T47 tamtéž a zároveň byl upraven chybný odkaz v kontrolní podmínce na buňku G20 (původně G21) v listu "0 Úvod"</t>
  </si>
  <si>
    <t>- odstraněn zámek v buňce E15 v listu "12 Ekonomická analýza (ERR)" - buňka je žlutě podbarvená a uživatel do ní vyplňuje příslušný konverzní faktor, proto nemůže být zamčená</t>
  </si>
  <si>
    <t>- opraven titulek tabulky 9.2. v listu "9 Ostatní přínosy EA" (buňka C19, resp. C27 a C20, resp. C28)</t>
  </si>
  <si>
    <t>- opraven chybný odkaz v buňce D502 v listu "6 Externality"</t>
  </si>
  <si>
    <t>- aktualizovány inflační koeficienty v indexu cen stavebních prací v listu "0 Úvod" v souladu s hodnotami dostupnými v opatření SFDI č.j. 0/SFDI/320079/3552/2018</t>
  </si>
  <si>
    <t>verze 1.08 (9. 8. 2019)</t>
  </si>
  <si>
    <t>- upraven vzhled úvodního listu (popis "název projektu", výchozí barva textu v popisu)</t>
  </si>
  <si>
    <t>- aktualizovány inflační koeficienty v indexu cen stavebních prací v listu "0 Úvod" v souladu s hodnotami dostupnými v opatření SFDI č.j. 6193/SFDI/320079/3375/2019 a ZOI I/2019 vydanou ČNB</t>
  </si>
  <si>
    <t>- doplněna možnost vypočítat zůstatkovou hodnotu i pro projekty s hodnotícím obdobím kratším než 15 let (úpravou vzorce v buňce I47 v listu '2 ZH')</t>
  </si>
  <si>
    <t>- zpřesněny popisy v listech '2 ZH' a '3 PN infrastruktury' především ve vztahu k výpočtům pro jinou než železniční, silniční a vodní infrastrukturu</t>
  </si>
  <si>
    <t>- provedeny úpravy výpočtu finanční udržitelnosti projektů MHD (nově zahrnuty i provozní náklady vozidel MHD) v listu '16 Udržitelnost'</t>
  </si>
  <si>
    <t>- předefinováno a upřesněno dělení vozidel MHD v listu '4 PN vozidel' a podle toho upraveno rolovací menu v listu '10 Finanční analýza (FRR_C)' a v navazujících listech ('12 Ekonomická analýza (ERR)', '13 Kontrola dotací')</t>
  </si>
  <si>
    <t>- do příjmů pro výpočet finanční mezery nově zahrnut i řádek "Ostatní příjmy" v listu '8 Příjmy'</t>
  </si>
  <si>
    <t>- v listu '13 Kontrola dotací' otevřeny pro úpravy tabulky s výpoštem dotací, za účelem správného výpočtu pro městské projekty (doplněn příslušný komentář)</t>
  </si>
  <si>
    <t>- provedeny formální úpravy popisů tabulek v listu '5 Úspory času'</t>
  </si>
  <si>
    <t>- upraveno zaokrouhlování příspěvku společenství v listu '14 Mezera ve financování' (nově použit vhodnější vzorec pro počet desetinných míst)</t>
  </si>
  <si>
    <t>- upraveno formátování tabulek a chybné zámky na některých bílých polích</t>
  </si>
  <si>
    <t>verze 1.09 (30. 11. 2020)</t>
  </si>
  <si>
    <t>- aktualizovány inflační koeficienty v indexu cen stavebních prací v listu "0 Úvod" v souladu s hodnotami dostupnými v opatření SFDI č.j. 7187/SFDI/320079/6512/2020 a ZOI I/2020 vydanou ČNB</t>
  </si>
  <si>
    <t>- v listu '4 PN vlaků' navýšen počet volných řádků v tabulce 4.4. a 4.5</t>
  </si>
  <si>
    <t>- v listu 'Vstupy z HDM-4 a EXNAD byla upravena podoba tabulek pro vkládání dat a byla zohledněna skutečnost, že výstupem EXNAD jsou již finanční hodnoty zahrnující sazby podle Rezortní metodiky. Množství exhalací v tunách se tak u silničních projektů nově již v CBA tabulkách neobjevuje. V souvislosti s touto změnou byly odpovídajícím způsobem upraveny i vzorce v tabulce 6.3. v listu '6 Externality'</t>
  </si>
  <si>
    <t>- v listu '14 Mezera ve financování' upraven způsob výpočtu čistých příjmů (buňka H46) pro silniční projekty (nově se nezohledňuje pokles provozních dotací, tak jako u železničních projektů)</t>
  </si>
  <si>
    <t>verze 1.10 (28. 2. 2022)</t>
  </si>
  <si>
    <t>- aktualizovány inflační koeficienty v indexu cen stavebních prací v listu "0 Úvod" v souladu s hodnotami dostupnými v opatření SFDI č.j. 154/SFDI/320096/16105/2021 a ZOMP zima 2022 vydanou ČNB</t>
  </si>
  <si>
    <r>
      <t>- korigovány a rozšířeny hodnoty emisních faktorů osobní i nákladní železniční dopravy (v případě CO</t>
    </r>
    <r>
      <rPr>
        <vertAlign val="subscript"/>
        <sz val="10"/>
        <rFont val="Arial"/>
        <family val="2"/>
        <charset val="238"/>
      </rPr>
      <t>2</t>
    </r>
    <r>
      <rPr>
        <sz val="10"/>
        <rFont val="Arial"/>
        <family val="2"/>
        <charset val="238"/>
      </rPr>
      <t>, PM</t>
    </r>
    <r>
      <rPr>
        <vertAlign val="subscript"/>
        <sz val="10"/>
        <rFont val="Arial"/>
        <family val="2"/>
        <charset val="238"/>
      </rPr>
      <t xml:space="preserve"> 2,5</t>
    </r>
    <r>
      <rPr>
        <sz val="10"/>
        <rFont val="Arial"/>
        <family val="2"/>
        <charset val="238"/>
      </rPr>
      <t xml:space="preserve"> a PM</t>
    </r>
    <r>
      <rPr>
        <vertAlign val="subscript"/>
        <sz val="10"/>
        <rFont val="Arial"/>
        <family val="2"/>
        <charset val="238"/>
      </rPr>
      <t>10</t>
    </r>
    <r>
      <rPr>
        <sz val="10"/>
        <rFont val="Arial"/>
        <family val="2"/>
        <charset val="238"/>
      </rPr>
      <t>)</t>
    </r>
  </si>
  <si>
    <r>
      <t>- list '6 Externality' rozšířen o tabulku 6.6.a.1 pro výpočet emisí CO</t>
    </r>
    <r>
      <rPr>
        <vertAlign val="subscript"/>
        <sz val="10"/>
        <rFont val="Arial"/>
        <family val="2"/>
        <charset val="238"/>
      </rPr>
      <t>2</t>
    </r>
    <r>
      <rPr>
        <sz val="10"/>
        <rFont val="Arial"/>
        <family val="2"/>
        <charset val="238"/>
      </rPr>
      <t xml:space="preserve"> od roku 2022 vč.dle Technických pokynů k prověřování infrastruktury z hlediska klimatického dopadu v období 2021 – 2027 (2021/C 373/01)</t>
    </r>
  </si>
  <si>
    <t>- upraven způsob výpočtu dopadu na změnu klimatu pro silniční stavby v listu '6 Externality' a vstupní list pro předávání dat z HDM-4 a EXNAD v návaznosti na předchozí bod</t>
  </si>
  <si>
    <t>Zjednodušené tabulky FA a EA připravené pro projekty MHD založené na finančních a ekonomických tabulkách z Rezortní metodiky pro hodnocení ekonomické efektivnosti projektů dopravních staveb (MD ČR, 2017). Model je založen na analýze výnosů a nákladů a je plně v souladu s Nařízením komise (EU) 2015/207.
Tabulky vychází z původního vzoru DG REGIO/F.2 a jejich dalšího zpracování ze strany SUDOP PRAHA a.s.</t>
  </si>
  <si>
    <t>verze MHD 0622</t>
  </si>
  <si>
    <t>Celkové investiční náklady bez rezervy</t>
  </si>
  <si>
    <t>Celkové investiční náklady včetně rezervy</t>
  </si>
  <si>
    <t>Celkové investiční náklady včetně DPH</t>
  </si>
  <si>
    <t>specifikujte</t>
  </si>
  <si>
    <t>OSTATNÍ**</t>
  </si>
  <si>
    <t>OTHER**</t>
  </si>
  <si>
    <t xml:space="preserve">** V případě potřeby lze vytvořit vlastní kategorii (kategorie) nákladů a stanovit jejich předpokládanou dobu životnosti. </t>
  </si>
  <si>
    <t>Náklady na běžnou údržbu infrastruktury</t>
  </si>
  <si>
    <t>Náklady na opravy a reinvestice</t>
  </si>
  <si>
    <t xml:space="preserve">Identifikujte provozní náklady na infrastrukturu dotčenou projektem pro stav s projektem a bez projektu. Vše v cenové hladině k datu zpracování (tj. bez vlivu inflace). </t>
  </si>
  <si>
    <t xml:space="preserve">vozové km, BUS </t>
  </si>
  <si>
    <t>vozové km, trolejbus</t>
  </si>
  <si>
    <t xml:space="preserve">vozové km, tramvaj </t>
  </si>
  <si>
    <t xml:space="preserve">vozové km, metro </t>
  </si>
  <si>
    <t xml:space="preserve">Náklady na provoz METRA </t>
  </si>
  <si>
    <t xml:space="preserve">Identifikace nákladů na provozu vozidel MHD. Náklady na provoz IAD, vlaků, regionálních nebo celostátních BUS linek apod. jsou zadávány až v části ekonomické analýzy. 
Zadávejte pouze provozní náklady na vozidla, která budou ovlivněná realizací projektu. </t>
  </si>
  <si>
    <t xml:space="preserve">Finanční analýza projektu </t>
  </si>
  <si>
    <t>Čisté cash-flow</t>
  </si>
  <si>
    <t>Grant EU</t>
  </si>
  <si>
    <t xml:space="preserve">Čisté cash-flow + grant EU </t>
  </si>
  <si>
    <t xml:space="preserve">Přijaté úvěry a půjčky </t>
  </si>
  <si>
    <t xml:space="preserve">Splátky úvěrů (jistina a úroky) </t>
  </si>
  <si>
    <t xml:space="preserve">Ostatní zdroje financování (specifikujte) </t>
  </si>
  <si>
    <t xml:space="preserve">Vlastní prostředky </t>
  </si>
  <si>
    <t>Celkové finanční cash-flow</t>
  </si>
  <si>
    <t xml:space="preserve">Kumulované celkové fin. cash-flow </t>
  </si>
  <si>
    <t xml:space="preserve">pomocný řádek </t>
  </si>
  <si>
    <t>Finanční vnitřní výnosové procento národního kapitálu FRR/K</t>
  </si>
  <si>
    <t>Finanční čistá současná hodnota národního kapitálu FNPV/K (CZK)</t>
  </si>
  <si>
    <t>Udržitelnost projektu</t>
  </si>
  <si>
    <t>emisní faktor čr</t>
  </si>
  <si>
    <t>Emisní faktor CO2 z výroby elektřiny za léta 2010–2021 | MPO</t>
  </si>
  <si>
    <t>1 MWh =0,4 t CO2</t>
  </si>
  <si>
    <t>1 kWh=0,4 kg CO2</t>
  </si>
  <si>
    <t>1 kWh=400 g CO2</t>
  </si>
  <si>
    <t>orientační spotřeba trakční energie trolejbus 1,0 kWh</t>
  </si>
  <si>
    <t>orientační spotřeba tramvaj 2,4 kWh/km</t>
  </si>
  <si>
    <t>netrakční energie = depa, osvětlení, apod.</t>
  </si>
  <si>
    <t xml:space="preserve">pomocný koeficient </t>
  </si>
  <si>
    <t>Výsledný růstový koef. - MHD ( 10 % pracovní, 90 % nepracovní čas)</t>
  </si>
  <si>
    <t>úspora na osobu (min.)</t>
  </si>
  <si>
    <t xml:space="preserve">elasticita k HDP: </t>
  </si>
  <si>
    <t>převod z cenové hladiny 2017</t>
  </si>
  <si>
    <t xml:space="preserve">Scénář s projektem </t>
  </si>
  <si>
    <t xml:space="preserve">Scénář bez projektu </t>
  </si>
  <si>
    <t>Specifikace území (linek) dotčených projektem</t>
  </si>
  <si>
    <t xml:space="preserve">Celkem </t>
  </si>
  <si>
    <t>Tržby z jízdného</t>
  </si>
  <si>
    <t xml:space="preserve">Ostatní tržby z přepravy, pronájmy, apod. </t>
  </si>
  <si>
    <t xml:space="preserve">Identifikujte příjmy z přepravy osob související s realizací projektu. Na řádku ostatní příjmy zadejte další provozní příjmy související s projektem (např. příjmy z pronájmů apod.). Přijaté provozní příspěvky, kompenzace (vyrovnávací platba) apod. jsou zadávány až jako zdroje financování na listu Finanční analýza.  </t>
  </si>
  <si>
    <t xml:space="preserve">   z toho způsobilé náklady </t>
  </si>
  <si>
    <t xml:space="preserve">   z toho nezpůsobilé náklady </t>
  </si>
  <si>
    <t>Dopravní výkony (vozové km)</t>
  </si>
  <si>
    <t xml:space="preserve">vozové km, IAD ovlivněná projektem </t>
  </si>
  <si>
    <t>Přírůstkové dopravní výkony (vzkm)</t>
  </si>
  <si>
    <t xml:space="preserve">Přepravní výkony (tis. osobokm) </t>
  </si>
  <si>
    <t>Přírůstkové přepravní výkony (oskm)</t>
  </si>
  <si>
    <t>tis. osobokm, trolejbus</t>
  </si>
  <si>
    <t>tis. osobokm, BUS</t>
  </si>
  <si>
    <t>Jednotkové náklady (Kč/vozový km)</t>
  </si>
  <si>
    <t>jednotkové náklady BUS (Kč/vzkm)</t>
  </si>
  <si>
    <t>jednotkové náklady trolejbus (Kč/vzkm)</t>
  </si>
  <si>
    <t>jednotkové náklady tramvaj (Kč/vzkm)</t>
  </si>
  <si>
    <t>jednotkové náklady metro (Kč/vzkm)</t>
  </si>
  <si>
    <t>Průměr</t>
  </si>
  <si>
    <t>ostatní, specifikujte</t>
  </si>
  <si>
    <t>Celkové provozní náklady vozidel MHD</t>
  </si>
  <si>
    <t>8.2.</t>
  </si>
  <si>
    <t>8.1.</t>
  </si>
  <si>
    <t>Pomocné výpočty</t>
  </si>
  <si>
    <t xml:space="preserve">hodnota času </t>
  </si>
  <si>
    <t>externality</t>
  </si>
  <si>
    <t>CO2</t>
  </si>
  <si>
    <t>8.3.</t>
  </si>
  <si>
    <t>8.6.</t>
  </si>
  <si>
    <t xml:space="preserve">Počet osob dotčených úsporou času celkem </t>
  </si>
  <si>
    <t xml:space="preserve">Úspory osobohodin celkem </t>
  </si>
  <si>
    <t xml:space="preserve">pomocný koeficient pro přepočet </t>
  </si>
  <si>
    <t>reference</t>
  </si>
  <si>
    <t>Trolejbus</t>
  </si>
  <si>
    <t>Tramvaj</t>
  </si>
  <si>
    <t>Metro</t>
  </si>
  <si>
    <t>9.3.</t>
  </si>
  <si>
    <t>9.4.
a</t>
  </si>
  <si>
    <t>9.5.
a</t>
  </si>
  <si>
    <t xml:space="preserve">9.6.
</t>
  </si>
  <si>
    <t>Zjednodušené externí náklady nehod a hluku
[CZK/1000 oskm]</t>
  </si>
  <si>
    <t>pomocené tabulky, vozové km</t>
  </si>
  <si>
    <t>vozové km</t>
  </si>
  <si>
    <t>s projektem</t>
  </si>
  <si>
    <t>Náklady za nehody a hluk, scénář s projektem (CZK)</t>
  </si>
  <si>
    <t>Náklady za nehody a hluk, scénář bez projektu (CZK)</t>
  </si>
  <si>
    <t>Úspora nákladů za nehody a hluk (CZK)</t>
  </si>
  <si>
    <t xml:space="preserve">Znečištění ovzduší (emise) </t>
  </si>
  <si>
    <t>pomocný koeficient pro přepočet (NOx…)</t>
  </si>
  <si>
    <t>pomocný koeficient pro přepočet (CO2)</t>
  </si>
  <si>
    <t>10.1.</t>
  </si>
  <si>
    <t>MHD, BUS</t>
  </si>
  <si>
    <t>MHD, trolejbus</t>
  </si>
  <si>
    <t>měrná spotřeba trakční energie [kWh/km]</t>
  </si>
  <si>
    <t>MHD. tramvaj</t>
  </si>
  <si>
    <t xml:space="preserve">MHD, metro </t>
  </si>
  <si>
    <t>IAD (město)</t>
  </si>
  <si>
    <t xml:space="preserve">jednotkové emise na 1 kWh </t>
  </si>
  <si>
    <t>Emisní faktory sledovaných polutantů [g/vzkm]</t>
  </si>
  <si>
    <t>trolejbus</t>
  </si>
  <si>
    <t xml:space="preserve">tramvaj </t>
  </si>
  <si>
    <t>metro</t>
  </si>
  <si>
    <t>odhadovaná trakční spotřeba</t>
  </si>
  <si>
    <r>
      <t>CO</t>
    </r>
    <r>
      <rPr>
        <b/>
        <vertAlign val="subscript"/>
        <sz val="9"/>
        <rFont val="Century Gothic"/>
        <family val="2"/>
      </rPr>
      <t>2</t>
    </r>
  </si>
  <si>
    <r>
      <t>NO</t>
    </r>
    <r>
      <rPr>
        <b/>
        <vertAlign val="subscript"/>
        <sz val="9"/>
        <rFont val="Century Gothic"/>
        <family val="2"/>
      </rPr>
      <t>x</t>
    </r>
  </si>
  <si>
    <r>
      <t>SO</t>
    </r>
    <r>
      <rPr>
        <b/>
        <vertAlign val="subscript"/>
        <sz val="9"/>
        <rFont val="Century Gothic"/>
        <family val="2"/>
      </rPr>
      <t>2</t>
    </r>
  </si>
  <si>
    <r>
      <t>PM</t>
    </r>
    <r>
      <rPr>
        <b/>
        <vertAlign val="subscript"/>
        <sz val="9"/>
        <rFont val="Century Gothic"/>
        <family val="2"/>
      </rPr>
      <t>2,5</t>
    </r>
  </si>
  <si>
    <r>
      <t>PM</t>
    </r>
    <r>
      <rPr>
        <b/>
        <vertAlign val="subscript"/>
        <sz val="9"/>
        <rFont val="Century Gothic"/>
        <family val="2"/>
      </rPr>
      <t>10</t>
    </r>
  </si>
  <si>
    <t>bez rozlišení</t>
  </si>
  <si>
    <t>Měrná trakční spotřeba elektrické energie (kWh/vzkm)</t>
  </si>
  <si>
    <t>měrná trakční spotřeba, trolejbus (kWh/vzkm)</t>
  </si>
  <si>
    <t>10.2.</t>
  </si>
  <si>
    <t>x.x.</t>
  </si>
  <si>
    <t>[g/vzkm]</t>
  </si>
  <si>
    <t>[CZK/vzkm]</t>
  </si>
  <si>
    <t xml:space="preserve">MHD, trolejbus (na 1 kWh) </t>
  </si>
  <si>
    <t xml:space="preserve">MHD. tramvaj (na 1 kWh) </t>
  </si>
  <si>
    <t xml:space="preserve">MHD, metro (na 1 kWh) </t>
  </si>
  <si>
    <t>měrná trakční spotřeba, BUS (koeficient = 1,0)</t>
  </si>
  <si>
    <t>měrná trakční spotřeba IAD (koeficient = 1,0)</t>
  </si>
  <si>
    <t>Externí náklady emisí, vlivy na ŽP (CZK)</t>
  </si>
  <si>
    <t>Vážené společenské náklady emisí (CZK/t)</t>
  </si>
  <si>
    <t>použité hodnoty</t>
  </si>
  <si>
    <t>10.3.</t>
  </si>
  <si>
    <t>10.4.</t>
  </si>
  <si>
    <t>10.5.</t>
  </si>
  <si>
    <t xml:space="preserve">10.6.
</t>
  </si>
  <si>
    <t>10.7.</t>
  </si>
  <si>
    <t>10.8.</t>
  </si>
  <si>
    <t>10.9.</t>
  </si>
  <si>
    <t>zdroj: přepočet dle tabulek Rezortní metodiky</t>
  </si>
  <si>
    <t>10.10.</t>
  </si>
  <si>
    <t>Externí náklady na CO2, vlivy na klima (CZK)</t>
  </si>
  <si>
    <t>[t/vzkm]</t>
  </si>
  <si>
    <t>tis. osobokm</t>
  </si>
  <si>
    <t>pomocené tabulky, osobokm</t>
  </si>
  <si>
    <t>11.4.</t>
  </si>
  <si>
    <t>11.5.</t>
  </si>
  <si>
    <t>11.6.</t>
  </si>
  <si>
    <t>12.2.</t>
  </si>
  <si>
    <t>12.1.</t>
  </si>
  <si>
    <t>Celkové přínosy</t>
  </si>
  <si>
    <t>Náklady na provoz TROLEJBUS</t>
  </si>
  <si>
    <t>Náklady na provoz TRAMVAJ</t>
  </si>
  <si>
    <t>Míra podpory</t>
  </si>
  <si>
    <t>Charakter projektu</t>
  </si>
  <si>
    <t>nová výstavba</t>
  </si>
  <si>
    <t>seznam:</t>
  </si>
  <si>
    <t>Náklady za emise a ŽP, scénář s projektem (CZK)</t>
  </si>
  <si>
    <t>Náklady za emise a ŽP, scénář bez projektu (CZK)</t>
  </si>
  <si>
    <t>Úspora nákladů za emise a ŽP (CZK)</t>
  </si>
  <si>
    <t>Náklady za CO2, scénář s projektem (CZK)</t>
  </si>
  <si>
    <t>tis. osobokm, tramvaj</t>
  </si>
  <si>
    <t>tis. osobokm, metro</t>
  </si>
  <si>
    <t>tis. osobokm, IAD ovlivněná projektem</t>
  </si>
  <si>
    <t>9.7.</t>
  </si>
  <si>
    <t>modernizace</t>
  </si>
  <si>
    <t xml:space="preserve">V případě doplnění vlastních nákladů nutno řádně argumentovat a zohlednit případné duplicity s ostatními dopady. </t>
  </si>
  <si>
    <t>13.1.</t>
  </si>
  <si>
    <t xml:space="preserve">aktuální pohled na emisní faktor elektřiny: </t>
  </si>
  <si>
    <t>electricityMap | Emise CO₂ ze spotřeby elektřiny v reálném čase</t>
  </si>
  <si>
    <t xml:space="preserve">Počet osob dotčených úsporou času (počet osob za rok) </t>
  </si>
  <si>
    <t xml:space="preserve">Úspory z cestovních dob (osobohodiny za rok)  </t>
  </si>
  <si>
    <t xml:space="preserve">Celkem úspory vlivů na změny klimatu </t>
  </si>
  <si>
    <t>Celkem úspory emisí a vlivů na ŽP</t>
  </si>
  <si>
    <t>Celkem úspory hluku a nehodovosti</t>
  </si>
  <si>
    <t>Celkem ostatní přínosy</t>
  </si>
  <si>
    <t xml:space="preserve">Rezerva (nepředvídatelné události) </t>
  </si>
  <si>
    <t>c</t>
  </si>
  <si>
    <t>1.</t>
  </si>
  <si>
    <t>2.</t>
  </si>
  <si>
    <t>3.</t>
  </si>
  <si>
    <t>4.</t>
  </si>
  <si>
    <t>5.</t>
  </si>
  <si>
    <t>6.</t>
  </si>
  <si>
    <t>7.</t>
  </si>
  <si>
    <t xml:space="preserve">   z toho výdaje na modernizace </t>
  </si>
  <si>
    <t xml:space="preserve">   podíl výdajů na modernizace na pol. 3 a 4 </t>
  </si>
  <si>
    <t xml:space="preserve">Koeficient nehodovosti pro vybrané módy (BUS = 100 %) </t>
  </si>
  <si>
    <t>tramvaj</t>
  </si>
  <si>
    <t>9.4.
b</t>
  </si>
  <si>
    <t xml:space="preserve">Zdroj: vlastní šetření na datech za Prahu, Brno a Ostravu, roky 2016-2021, 2022. </t>
  </si>
  <si>
    <t xml:space="preserve">Uveďte předpokládané přepravní výkony za sledované linky. Uveďte všechny použité předpoklady (například postup přepočtu z místokilometrů apod.). </t>
  </si>
  <si>
    <t>Emisní faktor ČR:</t>
  </si>
  <si>
    <t xml:space="preserve">* Při dělení nákladů stanovených v souhrnných rozpočtech se níže uvedené položky zařazují do uvedených kategorií:
- železniční přejezdy = železniční svršek,
- inženýrské sítě kabelové cizích vlastníků (telefony, datové sítě, veřejné elektrické rozvody, veř. osvětlení) = inženýrské sítě,
- ostatní technologická zařízení, např. výtahy, eskalátory, jeřáby, úpravna vody = silnoproudé rozvody a zařízení,
- přeložky a úpravy vodních toků, technické a biologické rekultivace, kácení = ochrana životního prostředí
- individuální protihluková opatření = ochrana životního prostředí,
- protihlukové stěny a protihlukové valy = ochrana životního prostředí,
- budovy objektů napájení = pozemní stavby,
- osvětlení, nízkonapěťové drážní rozvody, EOV, POV a napájení = silnoproudé rozvody a zařízení,
- všeobecné objekty = inženýrské sítě.
Pozn.: Pokud je zmiňována železniční infrastruktura, je tím míněna "infrastruktura drážní", která zahrnuje i městskou drážní dopravu. </t>
  </si>
  <si>
    <t xml:space="preserve">Přínosy projektu jsou dopočteny automaticky na základě zadaných dopravních a přepravních výkonů. </t>
  </si>
  <si>
    <t>měrná trakční spotřeba, tramvaj (kWh/vzkm)</t>
  </si>
  <si>
    <t>měrná trakční spotřeba, metro (kWh/vzkm)</t>
  </si>
  <si>
    <t>ostatní spotřeba el. energie (kWh/rok)*</t>
  </si>
  <si>
    <t xml:space="preserve">* ostatní  = netrakční spotřeba elektrické energie, případně zadání spotřeby elektrické energie bez přepočtu přes měrnou spotřebu vozidel </t>
  </si>
  <si>
    <t xml:space="preserve">Přínosy projektu jsou dopočteny automaticky na základě zadaných dopravních a přepravních výkonů a předpokládané spotřeby elektrické energie (viz list Emise a ŽP). </t>
  </si>
  <si>
    <t>9.4.
c</t>
  </si>
  <si>
    <t>verze pro MHD (27.7.2022)</t>
  </si>
  <si>
    <t>- připravena speciální verze pro MHD</t>
  </si>
  <si>
    <t xml:space="preserve">Poznámky: </t>
  </si>
  <si>
    <t xml:space="preserve">zdroj: přepočet dle tabulek Rezortní metodiky, použita hodnota emisí na 1 kWh dle MPO, 2021. </t>
  </si>
  <si>
    <t xml:space="preserve">Vyplňte v souladu s rozpočtem projektu. Případné reinvestice jsou zadávány až na listu 4 PN Infrastruktury. </t>
  </si>
  <si>
    <t>- odstraněna makra</t>
  </si>
  <si>
    <t xml:space="preserve">- revize koeficientu pro vývoj hodnoty času </t>
  </si>
  <si>
    <t>- drobné revize komentářů</t>
  </si>
  <si>
    <t>emise CO2 (t)</t>
  </si>
  <si>
    <t>emise CO2 (t), celkem</t>
  </si>
  <si>
    <t>pom.</t>
  </si>
  <si>
    <t xml:space="preserve">úspory CO2 (t) </t>
  </si>
  <si>
    <t>Úspory CO2</t>
  </si>
  <si>
    <t>11.7.</t>
  </si>
  <si>
    <t>Náklady za CO2, scénář bez projektu (CZK)</t>
  </si>
  <si>
    <t>Úspora nákladů za CO2 (CZK)</t>
  </si>
  <si>
    <t>verze pro MHD (30.9.2022)</t>
  </si>
  <si>
    <t>- doplnění tabulky 11.4 Výpočet úspory CO2 (t)</t>
  </si>
  <si>
    <t>verze pro MHD (30.10.2022)</t>
  </si>
  <si>
    <t xml:space="preserve">- úprava struktury rozpočtu dle zadání </t>
  </si>
  <si>
    <t>Příprava a zabezpečení projektu</t>
  </si>
  <si>
    <t xml:space="preserve">Pořízení nemovitostí </t>
  </si>
  <si>
    <t xml:space="preserve">Výstavba </t>
  </si>
  <si>
    <t>CO2 (posun v čase), hodnoty v letech, cú. dle výběru</t>
  </si>
  <si>
    <t xml:space="preserve">Tabulky jsou určeny pro zpracování v prostředí Microsoft Office. </t>
  </si>
  <si>
    <t>zdroj: "Rezortní metodika pro hodnocení ekonomické efektivnosti projektů dopravních staveb" (MD ČR, 2017, aktualizace 2023); ČNB ("Zpráva o měnové politice - zima 2024")</t>
  </si>
  <si>
    <t>* pro další roky platí v souladu s Rezortní metodikou průměrná hodnota spočtená od roku 2010 do r. 2024, tzn. inflace = 3,49 %, HDP = 1,71 %.</t>
  </si>
  <si>
    <t>vývoj HDP po roce 24</t>
  </si>
  <si>
    <t>9.6.</t>
  </si>
  <si>
    <t>***</t>
  </si>
  <si>
    <t>meziroční změna</t>
  </si>
  <si>
    <t>11.8.</t>
  </si>
  <si>
    <t xml:space="preserve">Emise CO2 (rok 2022) </t>
  </si>
  <si>
    <t>*** pro další roky platí v souladu s Rezortní metodikou hodnota roku 2050</t>
  </si>
  <si>
    <t xml:space="preserve">rok </t>
  </si>
  <si>
    <t>Znečištění ovzduší (klima)</t>
  </si>
  <si>
    <t>****</t>
  </si>
  <si>
    <t>**** pro další roky platí v souladu s Rezortní metodikou hodnota roku 2050</t>
  </si>
  <si>
    <t>Automobil - benzín</t>
  </si>
  <si>
    <t>Automobil - diesel</t>
  </si>
  <si>
    <t>Automobil - LPG</t>
  </si>
  <si>
    <t>Automobil - CNG</t>
  </si>
  <si>
    <t>Automobil - hybrid</t>
  </si>
  <si>
    <t>Automobil - elektrický</t>
  </si>
  <si>
    <t>BUS městský - spalovací motor</t>
  </si>
  <si>
    <t>BUS městský - elektrický</t>
  </si>
  <si>
    <t>LNV, TNV, BUS dálkový</t>
  </si>
  <si>
    <t>Vývoj v oblasti vozového parku silničních vozidel</t>
  </si>
  <si>
    <t>11.9.</t>
  </si>
  <si>
    <t>rok (kumulace)</t>
  </si>
  <si>
    <t xml:space="preserve">rok (načtení správné hodnoty) </t>
  </si>
  <si>
    <t>emise elektrobus</t>
  </si>
  <si>
    <t>emise EBV, město</t>
  </si>
  <si>
    <t>11.10.</t>
  </si>
  <si>
    <t>11.11.</t>
  </si>
  <si>
    <t xml:space="preserve">zdroj: RM, tab. 8.63 (2023) </t>
  </si>
  <si>
    <t>Kumulace hodnot pro roky od 2022 a načtení korektní hodnoty koeficientu pro snížení emisí CO2 (a alternativně i dalších emisí)</t>
  </si>
  <si>
    <t>verze MHD 250507</t>
  </si>
  <si>
    <t>Vývoj v oblasti uhlíkové neutrality elektrické energie</t>
  </si>
  <si>
    <t>Zdroj: "Politika ochrany klimatu v ČR", Ministerstvo životního prostředí, 2017; dopočet Správa železnic, státní organizace</t>
  </si>
  <si>
    <t>Zdroj: "Zjištění aktuální dynamické skladby vozového parku, Prognóza skladby vozového parku do roku 2050", ATEM , 2021; "All aboard Europe’s electric bus revolution", ING Think Economic and Financial Analysis, 2021; dopočet Správa železnic, státní organizace</t>
  </si>
  <si>
    <t xml:space="preserve">Komenntáře: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</si>
</sst>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5">
    <numFmt numFmtId="41" formatCode="_-* #,##0_-;\-* #,##0_-;_-* &quot;-&quot;_-;_-@_-"/>
    <numFmt numFmtId="164" formatCode="_-* #,##0.00\ _K_č_-;\-* #,##0.00\ _K_č_-;_-* &quot;-&quot;??\ _K_č_-;_-@_-"/>
    <numFmt numFmtId="165" formatCode="#,##0&quot;€&quot;;[Red]\-#,##0&quot;€&quot;"/>
    <numFmt numFmtId="166" formatCode="_-* #,##0.00\ _S_k_-;\-* #,##0.00\ _S_k_-;_-* &quot;-&quot;??\ _S_k_-;_-@_-"/>
    <numFmt numFmtId="167" formatCode="0.0"/>
    <numFmt numFmtId="168" formatCode="0.0%"/>
    <numFmt numFmtId="169" formatCode="#,##0.0"/>
    <numFmt numFmtId="170" formatCode="0.000"/>
    <numFmt numFmtId="171" formatCode="#,##0\ _€"/>
    <numFmt numFmtId="172" formatCode="0.000%"/>
    <numFmt numFmtId="173" formatCode="#,##0.000"/>
    <numFmt numFmtId="174" formatCode="\P\L\ 0"/>
    <numFmt numFmtId="175" formatCode="\V\A\T\ 0.0,%"/>
    <numFmt numFmtId="176" formatCode="\C\Ú\ 0"/>
    <numFmt numFmtId="177" formatCode="&quot;DPH&quot;\ 0.0,%"/>
    <numFmt numFmtId="178" formatCode="_(&quot;$&quot;* #,##0.00_);_(&quot;$&quot;* \(#,##0.00\);_(&quot;$&quot;* &quot;-&quot;??_);_(@_)"/>
    <numFmt numFmtId="179" formatCode="0;\-0;;@"/>
    <numFmt numFmtId="180" formatCode="#,##0.0000"/>
    <numFmt numFmtId="181" formatCode="00&quot; %  z mezd&quot;"/>
    <numFmt numFmtId="182" formatCode="0.0\ %"/>
    <numFmt numFmtId="183" formatCode="0.00\ %"/>
    <numFmt numFmtId="184" formatCode="0;;;@"/>
    <numFmt numFmtId="185" formatCode="0.0000"/>
    <numFmt numFmtId="186" formatCode="0.00000"/>
    <numFmt numFmtId="187" formatCode="#,##0.000000"/>
  </numFmts>
  <fonts count="112" x14ac:knownFonts="1">
    <font>
      <sz val="10"/>
      <name val="Arial"/>
    </font>
    <font>
      <sz val="11"/>
      <color theme="1"/>
      <name val="Calibri"/>
      <family val="2"/>
      <charset val="238"/>
      <scheme val="minor"/>
    </font>
    <font>
      <sz val="11"/>
      <color theme="1"/>
      <name val="Calibri"/>
      <family val="2"/>
      <charset val="238"/>
      <scheme val="minor"/>
    </font>
    <font>
      <sz val="10"/>
      <name val="Arial"/>
      <family val="2"/>
      <charset val="238"/>
    </font>
    <font>
      <i/>
      <sz val="10"/>
      <color indexed="12"/>
      <name val="MS Sans Serif"/>
      <family val="2"/>
    </font>
    <font>
      <sz val="8"/>
      <color indexed="8"/>
      <name val="Arial"/>
      <family val="2"/>
    </font>
    <font>
      <b/>
      <sz val="8"/>
      <color indexed="8"/>
      <name val="Arial"/>
      <family val="2"/>
    </font>
    <font>
      <sz val="8"/>
      <color indexed="8"/>
      <name val="Arial"/>
      <family val="2"/>
    </font>
    <font>
      <sz val="8"/>
      <color indexed="8"/>
      <name val="Arial"/>
      <family val="2"/>
    </font>
    <font>
      <b/>
      <sz val="9"/>
      <color indexed="8"/>
      <name val="Arial"/>
      <family val="2"/>
    </font>
    <font>
      <sz val="10"/>
      <name val="Courier New"/>
      <family val="3"/>
      <charset val="238"/>
    </font>
    <font>
      <sz val="8"/>
      <color indexed="81"/>
      <name val="Tahoma"/>
      <family val="2"/>
      <charset val="238"/>
    </font>
    <font>
      <b/>
      <sz val="8"/>
      <color indexed="81"/>
      <name val="Tahoma"/>
      <family val="2"/>
      <charset val="238"/>
    </font>
    <font>
      <sz val="10"/>
      <name val="Arial"/>
      <family val="2"/>
      <charset val="238"/>
    </font>
    <font>
      <sz val="9"/>
      <color indexed="81"/>
      <name val="Tahoma"/>
      <family val="2"/>
      <charset val="238"/>
    </font>
    <font>
      <sz val="10"/>
      <name val="Arial CE"/>
      <charset val="238"/>
    </font>
    <font>
      <sz val="11"/>
      <color theme="1"/>
      <name val="Calibri"/>
      <family val="2"/>
      <charset val="238"/>
      <scheme val="minor"/>
    </font>
    <font>
      <sz val="8"/>
      <color indexed="8"/>
      <name val="Verdana"/>
      <family val="2"/>
      <charset val="238"/>
    </font>
    <font>
      <b/>
      <sz val="8"/>
      <color indexed="8"/>
      <name val="Verdana"/>
      <family val="2"/>
      <charset val="238"/>
    </font>
    <font>
      <b/>
      <sz val="9"/>
      <color indexed="8"/>
      <name val="Verdana"/>
      <family val="2"/>
      <charset val="238"/>
    </font>
    <font>
      <b/>
      <sz val="8"/>
      <color rgb="FFFF0000"/>
      <name val="Arial"/>
      <family val="2"/>
      <charset val="238"/>
    </font>
    <font>
      <sz val="11"/>
      <color indexed="8"/>
      <name val="Calibri"/>
      <family val="2"/>
      <charset val="238"/>
    </font>
    <font>
      <sz val="11"/>
      <color indexed="9"/>
      <name val="Calibri"/>
      <family val="2"/>
      <charset val="238"/>
    </font>
    <font>
      <b/>
      <sz val="11"/>
      <color indexed="8"/>
      <name val="Calibri"/>
      <family val="2"/>
      <charset val="238"/>
    </font>
    <font>
      <sz val="11"/>
      <color indexed="20"/>
      <name val="Calibri"/>
      <family val="2"/>
      <charset val="238"/>
    </font>
    <font>
      <b/>
      <sz val="11"/>
      <color indexed="9"/>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b/>
      <sz val="18"/>
      <color indexed="56"/>
      <name val="Cambria"/>
      <family val="2"/>
      <charset val="238"/>
    </font>
    <font>
      <sz val="11"/>
      <color indexed="60"/>
      <name val="Calibri"/>
      <family val="2"/>
      <charset val="238"/>
    </font>
    <font>
      <sz val="11"/>
      <color indexed="52"/>
      <name val="Calibri"/>
      <family val="2"/>
      <charset val="238"/>
    </font>
    <font>
      <sz val="11"/>
      <color indexed="17"/>
      <name val="Calibri"/>
      <family val="2"/>
      <charset val="238"/>
    </font>
    <font>
      <sz val="11"/>
      <color indexed="10"/>
      <name val="Calibri"/>
      <family val="2"/>
      <charset val="238"/>
    </font>
    <font>
      <sz val="11"/>
      <color indexed="62"/>
      <name val="Calibri"/>
      <family val="2"/>
      <charset val="238"/>
    </font>
    <font>
      <b/>
      <sz val="11"/>
      <color indexed="52"/>
      <name val="Calibri"/>
      <family val="2"/>
      <charset val="238"/>
    </font>
    <font>
      <b/>
      <sz val="11"/>
      <color indexed="63"/>
      <name val="Calibri"/>
      <family val="2"/>
      <charset val="238"/>
    </font>
    <font>
      <i/>
      <sz val="11"/>
      <color indexed="23"/>
      <name val="Calibri"/>
      <family val="2"/>
      <charset val="238"/>
    </font>
    <font>
      <sz val="11"/>
      <name val="Calibri"/>
      <family val="2"/>
      <charset val="238"/>
    </font>
    <font>
      <b/>
      <sz val="10"/>
      <name val="Arial"/>
      <family val="2"/>
      <charset val="238"/>
    </font>
    <font>
      <i/>
      <sz val="10"/>
      <name val="Arial"/>
      <family val="2"/>
      <charset val="238"/>
    </font>
    <font>
      <sz val="10"/>
      <color theme="1"/>
      <name val="Calibri"/>
      <family val="2"/>
      <scheme val="minor"/>
    </font>
    <font>
      <b/>
      <sz val="22"/>
      <color theme="3"/>
      <name val="Calibri"/>
      <family val="2"/>
      <scheme val="minor"/>
    </font>
    <font>
      <b/>
      <sz val="12"/>
      <color theme="3"/>
      <name val="Calibri"/>
      <family val="2"/>
      <scheme val="minor"/>
    </font>
    <font>
      <sz val="11"/>
      <color theme="1"/>
      <name val="Calibri"/>
      <family val="2"/>
      <scheme val="minor"/>
    </font>
    <font>
      <b/>
      <sz val="10"/>
      <color indexed="8"/>
      <name val="Century Gothic"/>
      <family val="2"/>
      <charset val="238"/>
    </font>
    <font>
      <b/>
      <sz val="9"/>
      <color indexed="8"/>
      <name val="Century Gothic"/>
      <family val="2"/>
      <charset val="238"/>
    </font>
    <font>
      <sz val="9"/>
      <color indexed="8"/>
      <name val="Century Gothic"/>
      <family val="2"/>
      <charset val="238"/>
    </font>
    <font>
      <b/>
      <sz val="9"/>
      <name val="Century Gothic"/>
      <family val="2"/>
      <charset val="238"/>
    </font>
    <font>
      <sz val="8"/>
      <color indexed="8"/>
      <name val="Century Gothic"/>
      <family val="2"/>
      <charset val="238"/>
    </font>
    <font>
      <b/>
      <sz val="8"/>
      <color indexed="8"/>
      <name val="Century Gothic"/>
      <family val="2"/>
      <charset val="238"/>
    </font>
    <font>
      <sz val="9"/>
      <name val="Century Gothic"/>
      <family val="2"/>
      <charset val="238"/>
    </font>
    <font>
      <i/>
      <sz val="10"/>
      <color indexed="8"/>
      <name val="Century Gothic"/>
      <family val="2"/>
      <charset val="238"/>
    </font>
    <font>
      <b/>
      <sz val="10"/>
      <name val="Century Gothic"/>
      <family val="2"/>
      <charset val="238"/>
    </font>
    <font>
      <sz val="10"/>
      <name val="Century Gothic"/>
      <family val="2"/>
      <charset val="238"/>
    </font>
    <font>
      <sz val="12"/>
      <name val="Century Gothic"/>
      <family val="2"/>
      <charset val="238"/>
    </font>
    <font>
      <b/>
      <sz val="14"/>
      <name val="Century Gothic"/>
      <family val="2"/>
      <charset val="238"/>
    </font>
    <font>
      <sz val="14"/>
      <name val="Century Gothic"/>
      <family val="2"/>
      <charset val="238"/>
    </font>
    <font>
      <b/>
      <sz val="12"/>
      <name val="Century Gothic"/>
      <family val="2"/>
      <charset val="238"/>
    </font>
    <font>
      <sz val="11"/>
      <name val="Century Gothic"/>
      <family val="2"/>
      <charset val="238"/>
    </font>
    <font>
      <sz val="10"/>
      <color rgb="FFFF0000"/>
      <name val="Century Gothic"/>
      <family val="2"/>
      <charset val="238"/>
    </font>
    <font>
      <i/>
      <sz val="10"/>
      <name val="Century Gothic"/>
      <family val="2"/>
      <charset val="238"/>
    </font>
    <font>
      <sz val="10"/>
      <color indexed="12"/>
      <name val="Century Gothic"/>
      <family val="2"/>
      <charset val="238"/>
    </font>
    <font>
      <sz val="10"/>
      <color theme="4" tint="-0.249977111117893"/>
      <name val="Century Gothic"/>
      <family val="2"/>
      <charset val="238"/>
    </font>
    <font>
      <sz val="10"/>
      <color theme="4" tint="0.39997558519241921"/>
      <name val="Century Gothic"/>
      <family val="2"/>
      <charset val="238"/>
    </font>
    <font>
      <b/>
      <sz val="11"/>
      <name val="Century Gothic"/>
      <family val="2"/>
      <charset val="238"/>
    </font>
    <font>
      <i/>
      <sz val="9"/>
      <name val="Century Gothic"/>
      <family val="2"/>
      <charset val="238"/>
    </font>
    <font>
      <i/>
      <sz val="8"/>
      <name val="Century Gothic"/>
      <family val="2"/>
      <charset val="238"/>
    </font>
    <font>
      <sz val="8"/>
      <name val="Century Gothic"/>
      <family val="2"/>
      <charset val="238"/>
    </font>
    <font>
      <sz val="8"/>
      <color rgb="FFFF0000"/>
      <name val="Century Gothic"/>
      <family val="2"/>
      <charset val="238"/>
    </font>
    <font>
      <sz val="9"/>
      <color rgb="FFFF0000"/>
      <name val="Century Gothic"/>
      <family val="2"/>
      <charset val="238"/>
    </font>
    <font>
      <i/>
      <sz val="8"/>
      <color rgb="FFFF0000"/>
      <name val="Century Gothic"/>
      <family val="2"/>
      <charset val="238"/>
    </font>
    <font>
      <b/>
      <sz val="8"/>
      <color rgb="FFFF0000"/>
      <name val="Century Gothic"/>
      <family val="2"/>
      <charset val="238"/>
    </font>
    <font>
      <i/>
      <sz val="9"/>
      <color indexed="10"/>
      <name val="Century Gothic"/>
      <family val="2"/>
      <charset val="238"/>
    </font>
    <font>
      <sz val="8"/>
      <color indexed="10"/>
      <name val="Century Gothic"/>
      <family val="2"/>
      <charset val="238"/>
    </font>
    <font>
      <sz val="8"/>
      <color indexed="23"/>
      <name val="Century Gothic"/>
      <family val="2"/>
      <charset val="238"/>
    </font>
    <font>
      <b/>
      <i/>
      <sz val="9"/>
      <color indexed="8"/>
      <name val="Century Gothic"/>
      <family val="2"/>
      <charset val="238"/>
    </font>
    <font>
      <sz val="9"/>
      <color indexed="10"/>
      <name val="Century Gothic"/>
      <family val="2"/>
      <charset val="238"/>
    </font>
    <font>
      <b/>
      <vertAlign val="subscript"/>
      <sz val="9"/>
      <name val="Century Gothic"/>
      <family val="2"/>
      <charset val="238"/>
    </font>
    <font>
      <b/>
      <sz val="9"/>
      <color indexed="10"/>
      <name val="Century Gothic"/>
      <family val="2"/>
      <charset val="238"/>
    </font>
    <font>
      <sz val="8"/>
      <color theme="0"/>
      <name val="Century Gothic"/>
      <family val="2"/>
      <charset val="238"/>
    </font>
    <font>
      <i/>
      <sz val="9"/>
      <color indexed="8"/>
      <name val="Century Gothic"/>
      <family val="2"/>
      <charset val="238"/>
    </font>
    <font>
      <sz val="10"/>
      <color indexed="10"/>
      <name val="Century Gothic"/>
      <family val="2"/>
      <charset val="238"/>
    </font>
    <font>
      <sz val="8"/>
      <color theme="5" tint="-0.249977111117893"/>
      <name val="Century Gothic"/>
      <family val="2"/>
      <charset val="238"/>
    </font>
    <font>
      <b/>
      <sz val="11"/>
      <color theme="1"/>
      <name val="Century Gothic"/>
      <family val="2"/>
      <charset val="238"/>
    </font>
    <font>
      <sz val="10"/>
      <color theme="1"/>
      <name val="Century Gothic"/>
      <family val="2"/>
      <charset val="238"/>
    </font>
    <font>
      <sz val="9"/>
      <color indexed="9"/>
      <name val="Century Gothic"/>
      <family val="2"/>
      <charset val="238"/>
    </font>
    <font>
      <sz val="9"/>
      <color theme="0"/>
      <name val="Century Gothic"/>
      <family val="2"/>
      <charset val="238"/>
    </font>
    <font>
      <sz val="10"/>
      <name val="Calibri"/>
      <family val="2"/>
      <charset val="238"/>
    </font>
    <font>
      <b/>
      <sz val="10"/>
      <name val="Calibri"/>
      <family val="2"/>
      <charset val="238"/>
    </font>
    <font>
      <sz val="10"/>
      <color indexed="8"/>
      <name val="MS Sans Serif"/>
      <family val="2"/>
      <charset val="238"/>
    </font>
    <font>
      <vertAlign val="subscript"/>
      <sz val="10"/>
      <name val="Calibri"/>
      <family val="2"/>
      <charset val="238"/>
    </font>
    <font>
      <vertAlign val="subscript"/>
      <sz val="10"/>
      <name val="Arial"/>
      <family val="2"/>
      <charset val="238"/>
    </font>
    <font>
      <b/>
      <i/>
      <sz val="9"/>
      <name val="Century Gothic"/>
      <family val="2"/>
      <charset val="238"/>
    </font>
    <font>
      <sz val="8"/>
      <color theme="4" tint="-0.249977111117893"/>
      <name val="Century Gothic"/>
      <family val="2"/>
      <charset val="238"/>
    </font>
    <font>
      <sz val="8"/>
      <color theme="1"/>
      <name val="Calibri"/>
      <family val="2"/>
      <charset val="238"/>
      <scheme val="minor"/>
    </font>
    <font>
      <b/>
      <sz val="9"/>
      <color theme="1"/>
      <name val="Century Gothic"/>
      <family val="2"/>
    </font>
    <font>
      <u/>
      <sz val="10"/>
      <color theme="10"/>
      <name val="Arial"/>
      <family val="2"/>
    </font>
    <font>
      <sz val="9"/>
      <color indexed="81"/>
      <name val="Tahoma"/>
      <family val="2"/>
    </font>
    <font>
      <b/>
      <sz val="9"/>
      <color indexed="8"/>
      <name val="Century Gothic"/>
      <family val="2"/>
    </font>
    <font>
      <sz val="8"/>
      <name val="Arial"/>
      <family val="2"/>
    </font>
    <font>
      <sz val="8"/>
      <color theme="1"/>
      <name val="Century Gothic"/>
      <family val="2"/>
      <charset val="238"/>
    </font>
    <font>
      <sz val="9"/>
      <color theme="1"/>
      <name val="Century Gothic"/>
      <family val="2"/>
      <charset val="238"/>
    </font>
    <font>
      <b/>
      <sz val="9"/>
      <color theme="1"/>
      <name val="Century Gothic"/>
      <family val="2"/>
      <charset val="238"/>
    </font>
    <font>
      <b/>
      <sz val="9"/>
      <name val="Century Gothic"/>
      <family val="2"/>
    </font>
    <font>
      <b/>
      <vertAlign val="subscript"/>
      <sz val="9"/>
      <name val="Century Gothic"/>
      <family val="2"/>
    </font>
    <font>
      <sz val="8"/>
      <name val="Arial"/>
      <family val="2"/>
    </font>
    <font>
      <b/>
      <sz val="8"/>
      <color rgb="FFFF0000"/>
      <name val="Century Gothic"/>
      <family val="2"/>
    </font>
    <font>
      <b/>
      <sz val="8"/>
      <color indexed="8"/>
      <name val="Century Gothic"/>
      <family val="2"/>
    </font>
    <font>
      <i/>
      <sz val="10"/>
      <name val="Century Gothic"/>
      <family val="2"/>
    </font>
    <font>
      <sz val="8"/>
      <name val="Arial"/>
      <family val="2"/>
      <charset val="238"/>
    </font>
    <font>
      <b/>
      <sz val="9"/>
      <color indexed="81"/>
      <name val="Tahoma"/>
      <family val="2"/>
      <charset val="238"/>
    </font>
  </fonts>
  <fills count="52">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rgb="FFC0C0C0"/>
        <bgColor indexed="64"/>
      </patternFill>
    </fill>
    <fill>
      <patternFill patternType="solid">
        <fgColor rgb="FFFFFF99"/>
        <bgColor indexed="64"/>
      </patternFill>
    </fill>
    <fill>
      <patternFill patternType="solid">
        <fgColor theme="3" tint="0.79998168889431442"/>
        <bgColor indexed="64"/>
      </patternFill>
    </fill>
    <fill>
      <patternFill patternType="solid">
        <fgColor rgb="FFB4DE86"/>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9" tint="0.79998168889431442"/>
        <bgColor indexed="64"/>
      </patternFill>
    </fill>
    <fill>
      <patternFill patternType="solid">
        <fgColor rgb="FFFFFF9B"/>
        <bgColor indexed="64"/>
      </patternFill>
    </fill>
    <fill>
      <patternFill patternType="solid">
        <fgColor theme="0"/>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rgb="FFFFFFFF"/>
        <bgColor rgb="FF000000"/>
      </patternFill>
    </fill>
    <fill>
      <patternFill patternType="solid">
        <fgColor rgb="FFA4D76B"/>
        <bgColor indexed="64"/>
      </patternFill>
    </fill>
  </fills>
  <borders count="218">
    <border>
      <left/>
      <right/>
      <top/>
      <bottom/>
      <diagonal/>
    </border>
    <border>
      <left style="medium">
        <color indexed="64"/>
      </left>
      <right/>
      <top/>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right style="thin">
        <color indexed="64"/>
      </right>
      <top style="medium">
        <color indexed="64"/>
      </top>
      <bottom style="thin">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theme="1" tint="0.34998626667073579"/>
      </top>
      <bottom/>
      <diagonal/>
    </border>
    <border>
      <left/>
      <right style="medium">
        <color theme="1" tint="0.34998626667073579"/>
      </right>
      <top style="medium">
        <color theme="1" tint="0.34998626667073579"/>
      </top>
      <bottom/>
      <diagonal/>
    </border>
    <border>
      <left/>
      <right style="medium">
        <color theme="1" tint="0.34998626667073579"/>
      </right>
      <top/>
      <bottom/>
      <diagonal/>
    </border>
    <border>
      <left style="medium">
        <color theme="1" tint="0.34998626667073579"/>
      </left>
      <right/>
      <top/>
      <bottom style="medium">
        <color theme="1" tint="0.34998626667073579"/>
      </bottom>
      <diagonal/>
    </border>
    <border>
      <left/>
      <right/>
      <top/>
      <bottom style="medium">
        <color theme="1" tint="0.34998626667073579"/>
      </bottom>
      <diagonal/>
    </border>
    <border>
      <left/>
      <right style="medium">
        <color theme="1" tint="0.34998626667073579"/>
      </right>
      <top/>
      <bottom style="medium">
        <color theme="1" tint="0.34998626667073579"/>
      </bottom>
      <diagonal/>
    </border>
    <border>
      <left style="medium">
        <color theme="1" tint="0.34998626667073579"/>
      </left>
      <right style="medium">
        <color theme="1" tint="0.34998626667073579"/>
      </right>
      <top style="medium">
        <color theme="1" tint="0.34998626667073579"/>
      </top>
      <bottom/>
      <diagonal/>
    </border>
    <border>
      <left style="medium">
        <color theme="1" tint="0.34998626667073579"/>
      </left>
      <right style="medium">
        <color theme="1" tint="0.34998626667073579"/>
      </right>
      <top/>
      <bottom style="medium">
        <color theme="1" tint="0.34998626667073579"/>
      </bottom>
      <diagonal/>
    </border>
    <border>
      <left style="medium">
        <color theme="1" tint="0.34998626667073579"/>
      </left>
      <right/>
      <top style="medium">
        <color theme="1" tint="0.34998626667073579"/>
      </top>
      <bottom style="thin">
        <color theme="1" tint="0.34998626667073579"/>
      </bottom>
      <diagonal/>
    </border>
    <border>
      <left/>
      <right/>
      <top style="medium">
        <color theme="1" tint="0.34998626667073579"/>
      </top>
      <bottom style="thin">
        <color theme="1" tint="0.34998626667073579"/>
      </bottom>
      <diagonal/>
    </border>
    <border>
      <left/>
      <right style="medium">
        <color theme="1" tint="0.34998626667073579"/>
      </right>
      <top style="medium">
        <color theme="1" tint="0.34998626667073579"/>
      </top>
      <bottom style="thin">
        <color theme="1" tint="0.34998626667073579"/>
      </bottom>
      <diagonal/>
    </border>
    <border>
      <left style="thin">
        <color theme="1" tint="0.34998626667073579"/>
      </left>
      <right style="medium">
        <color theme="1" tint="0.34998626667073579"/>
      </right>
      <top style="thin">
        <color theme="1" tint="0.34998626667073579"/>
      </top>
      <bottom/>
      <diagonal/>
    </border>
    <border>
      <left style="thin">
        <color theme="1" tint="0.34998626667073579"/>
      </left>
      <right style="medium">
        <color theme="1" tint="0.34998626667073579"/>
      </right>
      <top/>
      <bottom style="medium">
        <color theme="1" tint="0.34998626667073579"/>
      </bottom>
      <diagonal/>
    </border>
    <border>
      <left style="thin">
        <color theme="1" tint="0.34998626667073579"/>
      </left>
      <right style="medium">
        <color theme="1" tint="0.34998626667073579"/>
      </right>
      <top/>
      <bottom/>
      <diagonal/>
    </border>
    <border>
      <left/>
      <right/>
      <top style="thin">
        <color theme="1" tint="0.34998626667073579"/>
      </top>
      <bottom style="thin">
        <color theme="1" tint="0.34998626667073579"/>
      </bottom>
      <diagonal/>
    </border>
    <border>
      <left style="thin">
        <color theme="1" tint="0.34998626667073579"/>
      </left>
      <right style="medium">
        <color theme="1" tint="0.34998626667073579"/>
      </right>
      <top style="thin">
        <color theme="1" tint="0.34998626667073579"/>
      </top>
      <bottom style="thin">
        <color theme="1" tint="0.34998626667073579"/>
      </bottom>
      <diagonal/>
    </border>
    <border>
      <left/>
      <right/>
      <top style="thin">
        <color theme="1" tint="0.34998626667073579"/>
      </top>
      <bottom style="medium">
        <color theme="1" tint="0.34998626667073579"/>
      </bottom>
      <diagonal/>
    </border>
    <border>
      <left style="thin">
        <color theme="1" tint="0.34998626667073579"/>
      </left>
      <right style="medium">
        <color theme="1" tint="0.34998626667073579"/>
      </right>
      <top style="thin">
        <color theme="1" tint="0.34998626667073579"/>
      </top>
      <bottom style="medium">
        <color theme="1" tint="0.34998626667073579"/>
      </bottom>
      <diagonal/>
    </border>
    <border>
      <left style="medium">
        <color theme="1" tint="0.34998626667073579"/>
      </left>
      <right/>
      <top style="medium">
        <color theme="1" tint="0.34998626667073579"/>
      </top>
      <bottom/>
      <diagonal/>
    </border>
    <border>
      <left style="thin">
        <color theme="1" tint="0.34998626667073579"/>
      </left>
      <right style="medium">
        <color theme="1" tint="0.34998626667073579"/>
      </right>
      <top style="medium">
        <color theme="1" tint="0.34998626667073579"/>
      </top>
      <bottom/>
      <diagonal/>
    </border>
    <border>
      <left style="medium">
        <color theme="1" tint="0.34998626667073579"/>
      </left>
      <right/>
      <top/>
      <bottom/>
      <diagonal/>
    </border>
    <border>
      <left style="medium">
        <color theme="1" tint="0.34998626667073579"/>
      </left>
      <right/>
      <top style="thin">
        <color theme="1" tint="0.34998626667073579"/>
      </top>
      <bottom style="thin">
        <color theme="1" tint="0.34998626667073579"/>
      </bottom>
      <diagonal/>
    </border>
    <border>
      <left/>
      <right style="medium">
        <color theme="1" tint="0.34998626667073579"/>
      </right>
      <top style="thin">
        <color theme="1" tint="0.34998626667073579"/>
      </top>
      <bottom style="thin">
        <color theme="1" tint="0.34998626667073579"/>
      </bottom>
      <diagonal/>
    </border>
    <border>
      <left style="medium">
        <color theme="1" tint="0.34998626667073579"/>
      </left>
      <right/>
      <top style="thin">
        <color theme="1" tint="0.34998626667073579"/>
      </top>
      <bottom style="medium">
        <color theme="1" tint="0.34998626667073579"/>
      </bottom>
      <diagonal/>
    </border>
    <border>
      <left/>
      <right style="medium">
        <color theme="1" tint="0.34998626667073579"/>
      </right>
      <top style="thin">
        <color theme="1" tint="0.34998626667073579"/>
      </top>
      <bottom style="medium">
        <color theme="1" tint="0.34998626667073579"/>
      </bottom>
      <diagonal/>
    </border>
    <border>
      <left/>
      <right style="medium">
        <color theme="1" tint="0.34998626667073579"/>
      </right>
      <top style="thin">
        <color theme="1" tint="0.34998626667073579"/>
      </top>
      <bottom/>
      <diagonal/>
    </border>
    <border>
      <left/>
      <right style="medium">
        <color theme="1" tint="0.34998626667073579"/>
      </right>
      <top/>
      <bottom style="thin">
        <color theme="1" tint="0.34998626667073579"/>
      </bottom>
      <diagonal/>
    </border>
    <border>
      <left/>
      <right/>
      <top/>
      <bottom style="thin">
        <color theme="1" tint="0.34998626667073579"/>
      </bottom>
      <diagonal/>
    </border>
    <border>
      <left style="thin">
        <color theme="1" tint="0.34998626667073579"/>
      </left>
      <right style="medium">
        <color theme="1" tint="0.34998626667073579"/>
      </right>
      <top/>
      <bottom style="thin">
        <color theme="1" tint="0.34998626667073579"/>
      </bottom>
      <diagonal/>
    </border>
    <border>
      <left style="thin">
        <color theme="1" tint="0.34998626667073579"/>
      </left>
      <right style="thin">
        <color theme="1" tint="0.34998626667073579"/>
      </right>
      <top/>
      <bottom style="medium">
        <color theme="1" tint="0.34998626667073579"/>
      </bottom>
      <diagonal/>
    </border>
    <border>
      <left style="thin">
        <color theme="1" tint="0.34998626667073579"/>
      </left>
      <right style="thin">
        <color theme="1" tint="0.34998626667073579"/>
      </right>
      <top/>
      <bottom/>
      <diagonal/>
    </border>
    <border>
      <left style="thin">
        <color theme="1" tint="0.34998626667073579"/>
      </left>
      <right/>
      <top/>
      <bottom/>
      <diagonal/>
    </border>
    <border>
      <left/>
      <right/>
      <top style="thin">
        <color theme="1" tint="0.34998626667073579"/>
      </top>
      <bottom/>
      <diagonal/>
    </border>
    <border>
      <left style="thin">
        <color theme="1" tint="0.34998626667073579"/>
      </left>
      <right style="medium">
        <color theme="1" tint="0.34998626667073579"/>
      </right>
      <top style="medium">
        <color theme="1" tint="0.34998626667073579"/>
      </top>
      <bottom style="medium">
        <color theme="1" tint="0.34998626667073579"/>
      </bottom>
      <diagonal/>
    </border>
    <border>
      <left style="medium">
        <color theme="1" tint="0.34998626667073579"/>
      </left>
      <right/>
      <top style="medium">
        <color theme="1" tint="0.34998626667073579"/>
      </top>
      <bottom style="medium">
        <color theme="1" tint="0.34998626667073579"/>
      </bottom>
      <diagonal/>
    </border>
    <border>
      <left/>
      <right style="thin">
        <color theme="1" tint="0.34998626667073579"/>
      </right>
      <top style="medium">
        <color theme="1" tint="0.34998626667073579"/>
      </top>
      <bottom style="medium">
        <color theme="1" tint="0.34998626667073579"/>
      </bottom>
      <diagonal/>
    </border>
    <border>
      <left style="medium">
        <color theme="1" tint="0.34998626667073579"/>
      </left>
      <right style="medium">
        <color theme="1" tint="0.34998626667073579"/>
      </right>
      <top style="medium">
        <color theme="1" tint="0.34998626667073579"/>
      </top>
      <bottom style="medium">
        <color theme="1" tint="0.34998626667073579"/>
      </bottom>
      <diagonal/>
    </border>
    <border>
      <left/>
      <right/>
      <top style="medium">
        <color theme="1" tint="0.34998626667073579"/>
      </top>
      <bottom style="medium">
        <color theme="1" tint="0.34998626667073579"/>
      </bottom>
      <diagonal/>
    </border>
    <border>
      <left/>
      <right style="medium">
        <color theme="1" tint="0.34998626667073579"/>
      </right>
      <top style="medium">
        <color theme="1" tint="0.34998626667073579"/>
      </top>
      <bottom style="medium">
        <color theme="1" tint="0.34998626667073579"/>
      </bottom>
      <diagonal/>
    </border>
    <border>
      <left style="thin">
        <color theme="1" tint="0.34998626667073579"/>
      </left>
      <right/>
      <top style="thin">
        <color theme="1" tint="0.34998626667073579"/>
      </top>
      <bottom/>
      <diagonal/>
    </border>
    <border>
      <left/>
      <right style="thin">
        <color theme="1" tint="0.34998626667073579"/>
      </right>
      <top style="thin">
        <color theme="1" tint="0.34998626667073579"/>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style="thin">
        <color theme="1" tint="0.34998626667073579"/>
      </right>
      <top/>
      <bottom style="thin">
        <color theme="1" tint="0.34998626667073579"/>
      </bottom>
      <diagonal/>
    </border>
    <border>
      <left style="medium">
        <color theme="1" tint="0.34998626667073579"/>
      </left>
      <right style="medium">
        <color theme="1" tint="0.34998626667073579"/>
      </right>
      <top style="medium">
        <color theme="1" tint="0.34998626667073579"/>
      </top>
      <bottom style="thin">
        <color theme="1" tint="0.34998626667073579"/>
      </bottom>
      <diagonal/>
    </border>
    <border>
      <left style="medium">
        <color theme="1" tint="0.34998626667073579"/>
      </left>
      <right style="medium">
        <color theme="1" tint="0.34998626667073579"/>
      </right>
      <top style="thin">
        <color theme="1" tint="0.34998626667073579"/>
      </top>
      <bottom style="medium">
        <color theme="1" tint="0.34998626667073579"/>
      </bottom>
      <diagonal/>
    </border>
    <border>
      <left style="medium">
        <color theme="1" tint="0.34998626667073579"/>
      </left>
      <right style="medium">
        <color theme="1" tint="0.34998626667073579"/>
      </right>
      <top/>
      <bottom/>
      <diagonal/>
    </border>
    <border>
      <left style="medium">
        <color theme="1" tint="0.34998626667073579"/>
      </left>
      <right style="medium">
        <color theme="1" tint="0.34998626667073579"/>
      </right>
      <top style="thin">
        <color theme="1" tint="0.34998626667073579"/>
      </top>
      <bottom/>
      <diagonal/>
    </border>
    <border>
      <left style="medium">
        <color theme="1" tint="0.34998626667073579"/>
      </left>
      <right style="medium">
        <color theme="1" tint="0.34998626667073579"/>
      </right>
      <top/>
      <bottom style="thin">
        <color theme="1" tint="0.34998626667073579"/>
      </bottom>
      <diagonal/>
    </border>
    <border>
      <left style="medium">
        <color theme="1" tint="0.34998626667073579"/>
      </left>
      <right style="thin">
        <color theme="1" tint="0.34998626667073579"/>
      </right>
      <top style="medium">
        <color theme="1" tint="0.34998626667073579"/>
      </top>
      <bottom/>
      <diagonal/>
    </border>
    <border>
      <left style="medium">
        <color theme="1" tint="0.34998626667073579"/>
      </left>
      <right style="thin">
        <color theme="1" tint="0.34998626667073579"/>
      </right>
      <top/>
      <bottom/>
      <diagonal/>
    </border>
    <border>
      <left style="medium">
        <color theme="1" tint="0.34998626667073579"/>
      </left>
      <right style="thin">
        <color theme="1" tint="0.34998626667073579"/>
      </right>
      <top style="thin">
        <color theme="1" tint="0.34998626667073579"/>
      </top>
      <bottom/>
      <diagonal/>
    </border>
    <border>
      <left style="medium">
        <color theme="1" tint="0.34998626667073579"/>
      </left>
      <right style="thin">
        <color theme="1" tint="0.34998626667073579"/>
      </right>
      <top/>
      <bottom style="thin">
        <color theme="1" tint="0.34998626667073579"/>
      </bottom>
      <diagonal/>
    </border>
    <border>
      <left style="thin">
        <color theme="1" tint="0.34998626667073579"/>
      </left>
      <right style="medium">
        <color theme="1" tint="0.34998626667073579"/>
      </right>
      <top style="medium">
        <color theme="1" tint="0.34998626667073579"/>
      </top>
      <bottom style="thin">
        <color theme="1" tint="0.34998626667073579"/>
      </bottom>
      <diagonal/>
    </border>
    <border>
      <left style="medium">
        <color theme="1" tint="0.34998626667073579"/>
      </left>
      <right style="thin">
        <color theme="1" tint="0.34998626667073579"/>
      </right>
      <top style="medium">
        <color theme="1" tint="0.34998626667073579"/>
      </top>
      <bottom style="thin">
        <color theme="1" tint="0.34998626667073579"/>
      </bottom>
      <diagonal/>
    </border>
    <border>
      <left style="medium">
        <color theme="1" tint="0.34998626667073579"/>
      </left>
      <right style="thin">
        <color theme="1" tint="0.34998626667073579"/>
      </right>
      <top style="thin">
        <color theme="1" tint="0.34998626667073579"/>
      </top>
      <bottom style="medium">
        <color theme="1" tint="0.34998626667073579"/>
      </bottom>
      <diagonal/>
    </border>
    <border>
      <left style="medium">
        <color theme="1" tint="0.499984740745262"/>
      </left>
      <right/>
      <top style="medium">
        <color theme="1" tint="0.499984740745262"/>
      </top>
      <bottom/>
      <diagonal/>
    </border>
    <border>
      <left/>
      <right/>
      <top style="medium">
        <color theme="1" tint="0.499984740745262"/>
      </top>
      <bottom/>
      <diagonal/>
    </border>
    <border>
      <left/>
      <right style="medium">
        <color theme="1" tint="0.499984740745262"/>
      </right>
      <top style="medium">
        <color theme="1" tint="0.499984740745262"/>
      </top>
      <bottom/>
      <diagonal/>
    </border>
    <border>
      <left style="medium">
        <color theme="1" tint="0.499984740745262"/>
      </left>
      <right/>
      <top/>
      <bottom style="medium">
        <color theme="1" tint="0.499984740745262"/>
      </bottom>
      <diagonal/>
    </border>
    <border>
      <left/>
      <right/>
      <top/>
      <bottom style="medium">
        <color theme="1" tint="0.499984740745262"/>
      </bottom>
      <diagonal/>
    </border>
    <border>
      <left/>
      <right style="medium">
        <color theme="1" tint="0.499984740745262"/>
      </right>
      <top/>
      <bottom style="medium">
        <color theme="1" tint="0.499984740745262"/>
      </bottom>
      <diagonal/>
    </border>
    <border>
      <left style="medium">
        <color theme="1" tint="0.499984740745262"/>
      </left>
      <right/>
      <top style="medium">
        <color theme="1" tint="0.499984740745262"/>
      </top>
      <bottom style="thin">
        <color theme="1" tint="0.499984740745262"/>
      </bottom>
      <diagonal/>
    </border>
    <border>
      <left/>
      <right/>
      <top style="medium">
        <color theme="1" tint="0.499984740745262"/>
      </top>
      <bottom style="thin">
        <color theme="1" tint="0.499984740745262"/>
      </bottom>
      <diagonal/>
    </border>
    <border>
      <left/>
      <right style="medium">
        <color theme="1" tint="0.499984740745262"/>
      </right>
      <top style="medium">
        <color theme="1" tint="0.499984740745262"/>
      </top>
      <bottom style="thin">
        <color theme="1" tint="0.499984740745262"/>
      </bottom>
      <diagonal/>
    </border>
    <border>
      <left style="medium">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medium">
        <color theme="1" tint="0.499984740745262"/>
      </right>
      <top style="thin">
        <color theme="1" tint="0.499984740745262"/>
      </top>
      <bottom style="thin">
        <color theme="1" tint="0.499984740745262"/>
      </bottom>
      <diagonal/>
    </border>
    <border>
      <left style="medium">
        <color theme="1" tint="0.499984740745262"/>
      </left>
      <right/>
      <top style="thin">
        <color theme="1" tint="0.499984740745262"/>
      </top>
      <bottom style="medium">
        <color theme="1" tint="0.499984740745262"/>
      </bottom>
      <diagonal/>
    </border>
    <border>
      <left/>
      <right/>
      <top style="thin">
        <color theme="1" tint="0.499984740745262"/>
      </top>
      <bottom style="medium">
        <color theme="1" tint="0.499984740745262"/>
      </bottom>
      <diagonal/>
    </border>
    <border>
      <left/>
      <right style="medium">
        <color theme="1" tint="0.499984740745262"/>
      </right>
      <top style="thin">
        <color theme="1" tint="0.499984740745262"/>
      </top>
      <bottom style="medium">
        <color theme="1" tint="0.499984740745262"/>
      </bottom>
      <diagonal/>
    </border>
    <border>
      <left/>
      <right/>
      <top/>
      <bottom style="thin">
        <color theme="1"/>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thin">
        <color auto="1"/>
      </left>
      <right style="medium">
        <color auto="1"/>
      </right>
      <top style="thin">
        <color auto="1"/>
      </top>
      <bottom/>
      <diagonal/>
    </border>
    <border>
      <left style="thin">
        <color auto="1"/>
      </left>
      <right style="medium">
        <color auto="1"/>
      </right>
      <top/>
      <bottom style="medium">
        <color auto="1"/>
      </bottom>
      <diagonal/>
    </border>
    <border>
      <left style="thin">
        <color indexed="64"/>
      </left>
      <right/>
      <top style="thin">
        <color indexed="64"/>
      </top>
      <bottom/>
      <diagonal/>
    </border>
    <border>
      <left/>
      <right style="thin">
        <color indexed="64"/>
      </right>
      <top/>
      <bottom style="medium">
        <color indexed="64"/>
      </bottom>
      <diagonal/>
    </border>
    <border>
      <left style="medium">
        <color indexed="64"/>
      </left>
      <right style="thin">
        <color indexed="64"/>
      </right>
      <top style="thin">
        <color auto="1"/>
      </top>
      <bottom/>
      <diagonal/>
    </border>
    <border>
      <left style="medium">
        <color indexed="64"/>
      </left>
      <right style="thin">
        <color indexed="64"/>
      </right>
      <top style="medium">
        <color indexed="64"/>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medium">
        <color auto="1"/>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style="thin">
        <color theme="1" tint="0.34998626667073579"/>
      </left>
      <right style="thin">
        <color theme="1" tint="0.34998626667073579"/>
      </right>
      <top/>
      <bottom style="thin">
        <color theme="1" tint="0.34998626667073579"/>
      </bottom>
      <diagonal/>
    </border>
    <border>
      <left style="thin">
        <color theme="1" tint="0.34998626667073579"/>
      </left>
      <right/>
      <top/>
      <bottom style="medium">
        <color theme="1" tint="0.34998626667073579"/>
      </bottom>
      <diagonal/>
    </border>
    <border>
      <left style="medium">
        <color indexed="64"/>
      </left>
      <right style="medium">
        <color indexed="64"/>
      </right>
      <top/>
      <bottom style="medium">
        <color theme="1" tint="0.34998626667073579"/>
      </bottom>
      <diagonal/>
    </border>
    <border>
      <left style="thin">
        <color theme="1" tint="0.34998626667073579"/>
      </left>
      <right style="medium">
        <color indexed="64"/>
      </right>
      <top/>
      <bottom style="thin">
        <color theme="1" tint="0.34998626667073579"/>
      </bottom>
      <diagonal/>
    </border>
    <border>
      <left style="thin">
        <color theme="1" tint="0.34998626667073579"/>
      </left>
      <right/>
      <top style="medium">
        <color indexed="64"/>
      </top>
      <bottom/>
      <diagonal/>
    </border>
    <border>
      <left style="thin">
        <color theme="1" tint="0.34998626667073579"/>
      </left>
      <right style="thin">
        <color theme="1" tint="0.34998626667073579"/>
      </right>
      <top style="medium">
        <color indexed="64"/>
      </top>
      <bottom/>
      <diagonal/>
    </border>
    <border>
      <left style="medium">
        <color indexed="64"/>
      </left>
      <right/>
      <top style="thin">
        <color indexed="64"/>
      </top>
      <bottom/>
      <diagonal/>
    </border>
    <border>
      <left/>
      <right style="medium">
        <color auto="1"/>
      </right>
      <top style="thin">
        <color indexed="64"/>
      </top>
      <bottom/>
      <diagonal/>
    </border>
    <border>
      <left/>
      <right style="medium">
        <color auto="1"/>
      </right>
      <top style="thin">
        <color indexed="64"/>
      </top>
      <bottom style="medium">
        <color auto="1"/>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theme="1" tint="0.34998626667073579"/>
      </right>
      <top/>
      <bottom style="medium">
        <color theme="1" tint="0.34998626667073579"/>
      </bottom>
      <diagonal/>
    </border>
    <border>
      <left style="medium">
        <color auto="1"/>
      </left>
      <right style="medium">
        <color auto="1"/>
      </right>
      <top style="thin">
        <color theme="1" tint="0.34998626667073579"/>
      </top>
      <bottom/>
      <diagonal/>
    </border>
    <border>
      <left/>
      <right style="thin">
        <color theme="1" tint="0.34998626667073579"/>
      </right>
      <top/>
      <bottom style="medium">
        <color auto="1"/>
      </bottom>
      <diagonal/>
    </border>
    <border>
      <left style="thin">
        <color theme="1" tint="0.34998626667073579"/>
      </left>
      <right style="thin">
        <color theme="1" tint="0.34998626667073579"/>
      </right>
      <top/>
      <bottom style="medium">
        <color auto="1"/>
      </bottom>
      <diagonal/>
    </border>
    <border>
      <left style="thin">
        <color theme="1" tint="0.34998626667073579"/>
      </left>
      <right/>
      <top/>
      <bottom style="medium">
        <color auto="1"/>
      </bottom>
      <diagonal/>
    </border>
    <border>
      <left style="medium">
        <color indexed="64"/>
      </left>
      <right style="thin">
        <color theme="1" tint="0.34998626667073579"/>
      </right>
      <top/>
      <bottom/>
      <diagonal/>
    </border>
    <border>
      <left style="medium">
        <color indexed="64"/>
      </left>
      <right style="thin">
        <color theme="1" tint="0.34998626667073579"/>
      </right>
      <top style="thin">
        <color theme="1" tint="0.34998626667073579"/>
      </top>
      <bottom/>
      <diagonal/>
    </border>
    <border>
      <left style="medium">
        <color indexed="64"/>
      </left>
      <right style="thin">
        <color theme="1" tint="0.34998626667073579"/>
      </right>
      <top/>
      <bottom style="medium">
        <color theme="1" tint="0.34998626667073579"/>
      </bottom>
      <diagonal/>
    </border>
    <border>
      <left style="medium">
        <color indexed="64"/>
      </left>
      <right style="thin">
        <color theme="1" tint="0.34998626667073579"/>
      </right>
      <top style="medium">
        <color indexed="64"/>
      </top>
      <bottom/>
      <diagonal/>
    </border>
    <border>
      <left style="medium">
        <color indexed="64"/>
      </left>
      <right style="thin">
        <color theme="1" tint="0.34998626667073579"/>
      </right>
      <top/>
      <bottom style="thin">
        <color theme="1" tint="0.34998626667073579"/>
      </bottom>
      <diagonal/>
    </border>
    <border>
      <left style="medium">
        <color indexed="64"/>
      </left>
      <right style="thin">
        <color theme="1" tint="0.34998626667073579"/>
      </right>
      <top/>
      <bottom style="medium">
        <color indexed="64"/>
      </bottom>
      <diagonal/>
    </border>
    <border>
      <left/>
      <right style="thin">
        <color theme="1" tint="0.34998626667073579"/>
      </right>
      <top style="medium">
        <color indexed="64"/>
      </top>
      <bottom/>
      <diagonal/>
    </border>
    <border>
      <left style="medium">
        <color theme="1" tint="0.499984740745262"/>
      </left>
      <right/>
      <top style="thin">
        <color theme="1" tint="0.499984740745262"/>
      </top>
      <bottom/>
      <diagonal/>
    </border>
    <border>
      <left/>
      <right/>
      <top style="thin">
        <color theme="1" tint="0.499984740745262"/>
      </top>
      <bottom/>
      <diagonal/>
    </border>
    <border>
      <left/>
      <right style="medium">
        <color theme="1" tint="0.499984740745262"/>
      </right>
      <top style="thin">
        <color theme="1" tint="0.499984740745262"/>
      </top>
      <bottom/>
      <diagonal/>
    </border>
    <border>
      <left style="medium">
        <color indexed="64"/>
      </left>
      <right style="medium">
        <color auto="1"/>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auto="1"/>
      </top>
      <bottom style="medium">
        <color theme="1" tint="0.34998626667073579"/>
      </bottom>
      <diagonal/>
    </border>
    <border>
      <left style="medium">
        <color indexed="64"/>
      </left>
      <right/>
      <top style="medium">
        <color indexed="64"/>
      </top>
      <bottom style="thin">
        <color theme="1" tint="0.34998626667073579"/>
      </bottom>
      <diagonal/>
    </border>
    <border>
      <left/>
      <right style="medium">
        <color indexed="64"/>
      </right>
      <top style="medium">
        <color indexed="64"/>
      </top>
      <bottom style="thin">
        <color theme="1" tint="0.34998626667073579"/>
      </bottom>
      <diagonal/>
    </border>
    <border>
      <left style="thin">
        <color theme="1" tint="0.34998626667073579"/>
      </left>
      <right style="medium">
        <color indexed="64"/>
      </right>
      <top style="thin">
        <color theme="1" tint="0.34998626667073579"/>
      </top>
      <bottom/>
      <diagonal/>
    </border>
    <border>
      <left style="thin">
        <color theme="1" tint="0.34998626667073579"/>
      </left>
      <right style="medium">
        <color indexed="64"/>
      </right>
      <top/>
      <bottom style="medium">
        <color indexed="64"/>
      </bottom>
      <diagonal/>
    </border>
    <border>
      <left style="medium">
        <color indexed="64"/>
      </left>
      <right/>
      <top style="medium">
        <color indexed="64"/>
      </top>
      <bottom style="medium">
        <color theme="1" tint="0.34998626667073579"/>
      </bottom>
      <diagonal/>
    </border>
    <border>
      <left style="medium">
        <color indexed="64"/>
      </left>
      <right/>
      <top style="thin">
        <color theme="1" tint="0.34998626667073579"/>
      </top>
      <bottom/>
      <diagonal/>
    </border>
    <border>
      <left style="medium">
        <color indexed="64"/>
      </left>
      <right/>
      <top/>
      <bottom style="thin">
        <color theme="1" tint="0.34998626667073579"/>
      </bottom>
      <diagonal/>
    </border>
    <border>
      <left style="medium">
        <color theme="1" tint="0.34998626667073579"/>
      </left>
      <right/>
      <top style="medium">
        <color indexed="64"/>
      </top>
      <bottom style="medium">
        <color theme="1" tint="0.34998626667073579"/>
      </bottom>
      <diagonal/>
    </border>
    <border>
      <left style="thin">
        <color theme="1" tint="0.34998626667073579"/>
      </left>
      <right/>
      <top style="medium">
        <color theme="1" tint="0.34998626667073579"/>
      </top>
      <bottom/>
      <diagonal/>
    </border>
    <border>
      <left style="medium">
        <color indexed="64"/>
      </left>
      <right style="medium">
        <color indexed="64"/>
      </right>
      <top style="medium">
        <color indexed="64"/>
      </top>
      <bottom style="medium">
        <color theme="1" tint="0.34998626667073579"/>
      </bottom>
      <diagonal/>
    </border>
    <border>
      <left style="medium">
        <color indexed="64"/>
      </left>
      <right style="medium">
        <color indexed="64"/>
      </right>
      <top/>
      <bottom style="thin">
        <color theme="1" tint="0.34998626667073579"/>
      </bottom>
      <diagonal/>
    </border>
    <border>
      <left style="medium">
        <color indexed="64"/>
      </left>
      <right/>
      <top/>
      <bottom style="medium">
        <color indexed="64"/>
      </bottom>
      <diagonal/>
    </border>
    <border>
      <left style="thin">
        <color auto="1"/>
      </left>
      <right/>
      <top/>
      <bottom style="medium">
        <color auto="1"/>
      </bottom>
      <diagonal/>
    </border>
    <border>
      <left style="thin">
        <color indexed="64"/>
      </left>
      <right/>
      <top style="thin">
        <color indexed="64"/>
      </top>
      <bottom style="medium">
        <color indexed="64"/>
      </bottom>
      <diagonal/>
    </border>
    <border>
      <left/>
      <right style="medium">
        <color indexed="64"/>
      </right>
      <top/>
      <bottom style="medium">
        <color theme="1" tint="0.34998626667073579"/>
      </bottom>
      <diagonal/>
    </border>
    <border>
      <left/>
      <right style="medium">
        <color indexed="64"/>
      </right>
      <top style="thin">
        <color theme="1" tint="0.34998626667073579"/>
      </top>
      <bottom style="thin">
        <color theme="1" tint="0.34998626667073579"/>
      </bottom>
      <diagonal/>
    </border>
    <border>
      <left/>
      <right/>
      <top style="medium">
        <color theme="1" tint="0.34998626667073579"/>
      </top>
      <bottom style="medium">
        <color indexed="64"/>
      </bottom>
      <diagonal/>
    </border>
    <border>
      <left/>
      <right style="medium">
        <color indexed="64"/>
      </right>
      <top style="medium">
        <color theme="1" tint="0.34998626667073579"/>
      </top>
      <bottom style="medium">
        <color indexed="64"/>
      </bottom>
      <diagonal/>
    </border>
    <border>
      <left/>
      <right style="thin">
        <color indexed="64"/>
      </right>
      <top style="medium">
        <color indexed="64"/>
      </top>
      <bottom style="medium">
        <color indexed="64"/>
      </bottom>
      <diagonal/>
    </border>
    <border>
      <left style="medium">
        <color theme="1" tint="0.34998626667073579"/>
      </left>
      <right style="thin">
        <color indexed="64"/>
      </right>
      <top style="medium">
        <color theme="1" tint="0.34998626667073579"/>
      </top>
      <bottom style="thin">
        <color indexed="64"/>
      </bottom>
      <diagonal/>
    </border>
    <border>
      <left style="thin">
        <color indexed="64"/>
      </left>
      <right/>
      <top style="medium">
        <color theme="1" tint="0.34998626667073579"/>
      </top>
      <bottom style="thin">
        <color indexed="64"/>
      </bottom>
      <diagonal/>
    </border>
    <border>
      <left style="medium">
        <color theme="1" tint="0.34998626667073579"/>
      </left>
      <right style="medium">
        <color theme="1" tint="0.34998626667073579"/>
      </right>
      <top style="medium">
        <color theme="1" tint="0.34998626667073579"/>
      </top>
      <bottom style="thin">
        <color indexed="64"/>
      </bottom>
      <diagonal/>
    </border>
    <border>
      <left style="medium">
        <color theme="1" tint="0.34998626667073579"/>
      </left>
      <right style="thin">
        <color indexed="64"/>
      </right>
      <top style="thin">
        <color indexed="64"/>
      </top>
      <bottom style="thin">
        <color indexed="64"/>
      </bottom>
      <diagonal/>
    </border>
    <border>
      <left style="medium">
        <color theme="1" tint="0.34998626667073579"/>
      </left>
      <right style="medium">
        <color theme="1" tint="0.34998626667073579"/>
      </right>
      <top style="thin">
        <color indexed="64"/>
      </top>
      <bottom style="thin">
        <color indexed="64"/>
      </bottom>
      <diagonal/>
    </border>
    <border>
      <left style="medium">
        <color theme="1" tint="0.34998626667073579"/>
      </left>
      <right style="thin">
        <color indexed="64"/>
      </right>
      <top style="thin">
        <color indexed="64"/>
      </top>
      <bottom/>
      <diagonal/>
    </border>
    <border>
      <left style="medium">
        <color theme="1" tint="0.34998626667073579"/>
      </left>
      <right style="medium">
        <color theme="1" tint="0.34998626667073579"/>
      </right>
      <top style="thin">
        <color indexed="64"/>
      </top>
      <bottom/>
      <diagonal/>
    </border>
    <border>
      <left style="medium">
        <color theme="1" tint="0.34998626667073579"/>
      </left>
      <right style="thin">
        <color indexed="64"/>
      </right>
      <top style="thin">
        <color indexed="64"/>
      </top>
      <bottom style="medium">
        <color theme="1" tint="0.34998626667073579"/>
      </bottom>
      <diagonal/>
    </border>
    <border>
      <left style="thin">
        <color indexed="64"/>
      </left>
      <right/>
      <top style="thin">
        <color indexed="64"/>
      </top>
      <bottom style="medium">
        <color theme="1" tint="0.34998626667073579"/>
      </bottom>
      <diagonal/>
    </border>
    <border>
      <left style="medium">
        <color theme="1" tint="0.34998626667073579"/>
      </left>
      <right style="medium">
        <color theme="1" tint="0.34998626667073579"/>
      </right>
      <top style="thin">
        <color auto="1"/>
      </top>
      <bottom style="medium">
        <color theme="1" tint="0.34998626667073579"/>
      </bottom>
      <diagonal/>
    </border>
    <border>
      <left style="medium">
        <color theme="1" tint="0.34998626667073579"/>
      </left>
      <right style="thin">
        <color indexed="64"/>
      </right>
      <top/>
      <bottom style="medium">
        <color theme="1" tint="0.34998626667073579"/>
      </bottom>
      <diagonal/>
    </border>
    <border>
      <left style="thin">
        <color indexed="64"/>
      </left>
      <right/>
      <top/>
      <bottom style="medium">
        <color theme="1" tint="0.34998626667073579"/>
      </bottom>
      <diagonal/>
    </border>
    <border>
      <left style="thin">
        <color indexed="64"/>
      </left>
      <right style="medium">
        <color theme="1" tint="0.34998626667073579"/>
      </right>
      <top style="medium">
        <color theme="1" tint="0.34998626667073579"/>
      </top>
      <bottom style="thin">
        <color indexed="64"/>
      </bottom>
      <diagonal/>
    </border>
    <border>
      <left style="medium">
        <color theme="1" tint="0.34998626667073579"/>
      </left>
      <right/>
      <top style="thin">
        <color indexed="64"/>
      </top>
      <bottom style="thin">
        <color indexed="64"/>
      </bottom>
      <diagonal/>
    </border>
    <border>
      <left/>
      <right style="medium">
        <color theme="1" tint="0.34998626667073579"/>
      </right>
      <top style="thin">
        <color indexed="64"/>
      </top>
      <bottom style="thin">
        <color indexed="64"/>
      </bottom>
      <diagonal/>
    </border>
    <border>
      <left style="medium">
        <color theme="1" tint="0.34998626667073579"/>
      </left>
      <right/>
      <top style="thin">
        <color indexed="64"/>
      </top>
      <bottom style="medium">
        <color theme="1" tint="0.34998626667073579"/>
      </bottom>
      <diagonal/>
    </border>
    <border>
      <left/>
      <right style="medium">
        <color theme="1" tint="0.34998626667073579"/>
      </right>
      <top style="thin">
        <color indexed="64"/>
      </top>
      <bottom style="medium">
        <color theme="1" tint="0.34998626667073579"/>
      </bottom>
      <diagonal/>
    </border>
    <border>
      <left style="medium">
        <color theme="1" tint="0.34998626667073579"/>
      </left>
      <right/>
      <top style="medium">
        <color theme="1" tint="0.34998626667073579"/>
      </top>
      <bottom style="thin">
        <color indexed="64"/>
      </bottom>
      <diagonal/>
    </border>
    <border>
      <left/>
      <right style="medium">
        <color theme="1" tint="0.34998626667073579"/>
      </right>
      <top style="medium">
        <color theme="1" tint="0.34998626667073579"/>
      </top>
      <bottom style="thin">
        <color indexed="64"/>
      </bottom>
      <diagonal/>
    </border>
  </borders>
  <cellStyleXfs count="342">
    <xf numFmtId="0" fontId="0" fillId="0" borderId="0"/>
    <xf numFmtId="3" fontId="4" fillId="0" borderId="1"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0" fontId="3" fillId="0" borderId="0"/>
    <xf numFmtId="0" fontId="13" fillId="0" borderId="0"/>
    <xf numFmtId="0" fontId="16" fillId="0" borderId="0"/>
    <xf numFmtId="0" fontId="16" fillId="0" borderId="0"/>
    <xf numFmtId="0" fontId="13" fillId="0" borderId="0"/>
    <xf numFmtId="0" fontId="13" fillId="0" borderId="0"/>
    <xf numFmtId="0" fontId="16" fillId="0" borderId="0"/>
    <xf numFmtId="0" fontId="15" fillId="0" borderId="0"/>
    <xf numFmtId="0" fontId="16" fillId="0" borderId="0"/>
    <xf numFmtId="0" fontId="16" fillId="0" borderId="0"/>
    <xf numFmtId="0" fontId="16" fillId="0" borderId="0"/>
    <xf numFmtId="0" fontId="16" fillId="0" borderId="0"/>
    <xf numFmtId="0" fontId="13" fillId="0" borderId="0"/>
    <xf numFmtId="0" fontId="13" fillId="0" borderId="0"/>
    <xf numFmtId="0" fontId="13" fillId="0" borderId="0"/>
    <xf numFmtId="0" fontId="16" fillId="0" borderId="0"/>
    <xf numFmtId="0" fontId="1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0" fillId="0" borderId="0"/>
    <xf numFmtId="9" fontId="13" fillId="0" borderId="0" applyFont="0" applyFill="0" applyBorder="0" applyAlignment="0" applyProtection="0"/>
    <xf numFmtId="9" fontId="13" fillId="0" borderId="0" applyFont="0" applyFill="0" applyBorder="0" applyAlignment="0" applyProtection="0"/>
    <xf numFmtId="9" fontId="15" fillId="0" borderId="0" applyFont="0" applyFill="0" applyBorder="0" applyAlignment="0" applyProtection="0"/>
    <xf numFmtId="9" fontId="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3" fontId="4" fillId="0" borderId="0" applyFill="0" applyBorder="0" applyAlignment="0" applyProtection="0"/>
    <xf numFmtId="0" fontId="3" fillId="0" borderId="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3" fillId="0" borderId="38"/>
    <xf numFmtId="0" fontId="23" fillId="0" borderId="42" applyNumberFormat="0" applyFill="0" applyAlignment="0" applyProtection="0"/>
    <xf numFmtId="0" fontId="23" fillId="0" borderId="42" applyNumberFormat="0" applyFill="0" applyAlignment="0" applyProtection="0"/>
    <xf numFmtId="0" fontId="23" fillId="0" borderId="42" applyNumberFormat="0" applyFill="0" applyAlignment="0" applyProtection="0"/>
    <xf numFmtId="0" fontId="23" fillId="0" borderId="42" applyNumberFormat="0" applyFill="0" applyAlignment="0" applyProtection="0"/>
    <xf numFmtId="0" fontId="23" fillId="0" borderId="42" applyNumberFormat="0" applyFill="0" applyAlignment="0" applyProtection="0"/>
    <xf numFmtId="0" fontId="23" fillId="0" borderId="42" applyNumberFormat="0" applyFill="0" applyAlignment="0" applyProtection="0"/>
    <xf numFmtId="41" fontId="15"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5" fillId="22" borderId="43" applyNumberFormat="0" applyAlignment="0" applyProtection="0"/>
    <xf numFmtId="0" fontId="25" fillId="22" borderId="43" applyNumberFormat="0" applyAlignment="0" applyProtection="0"/>
    <xf numFmtId="0" fontId="25" fillId="22" borderId="43" applyNumberFormat="0" applyAlignment="0" applyProtection="0"/>
    <xf numFmtId="0" fontId="25" fillId="22" borderId="43" applyNumberFormat="0" applyAlignment="0" applyProtection="0"/>
    <xf numFmtId="0" fontId="25" fillId="22" borderId="43" applyNumberFormat="0" applyAlignment="0" applyProtection="0"/>
    <xf numFmtId="0" fontId="25" fillId="22" borderId="43" applyNumberFormat="0" applyAlignment="0" applyProtection="0"/>
    <xf numFmtId="0" fontId="26" fillId="0" borderId="44" applyNumberFormat="0" applyFill="0" applyAlignment="0" applyProtection="0"/>
    <xf numFmtId="0" fontId="26" fillId="0" borderId="44" applyNumberFormat="0" applyFill="0" applyAlignment="0" applyProtection="0"/>
    <xf numFmtId="0" fontId="26" fillId="0" borderId="44" applyNumberFormat="0" applyFill="0" applyAlignment="0" applyProtection="0"/>
    <xf numFmtId="0" fontId="26" fillId="0" borderId="44" applyNumberFormat="0" applyFill="0" applyAlignment="0" applyProtection="0"/>
    <xf numFmtId="0" fontId="26" fillId="0" borderId="44" applyNumberFormat="0" applyFill="0" applyAlignment="0" applyProtection="0"/>
    <xf numFmtId="0" fontId="26" fillId="0" borderId="44" applyNumberFormat="0" applyFill="0" applyAlignment="0" applyProtection="0"/>
    <xf numFmtId="0" fontId="27" fillId="0" borderId="45" applyNumberFormat="0" applyFill="0" applyAlignment="0" applyProtection="0"/>
    <xf numFmtId="0" fontId="27" fillId="0" borderId="45" applyNumberFormat="0" applyFill="0" applyAlignment="0" applyProtection="0"/>
    <xf numFmtId="0" fontId="27" fillId="0" borderId="45" applyNumberFormat="0" applyFill="0" applyAlignment="0" applyProtection="0"/>
    <xf numFmtId="0" fontId="27" fillId="0" borderId="45" applyNumberFormat="0" applyFill="0" applyAlignment="0" applyProtection="0"/>
    <xf numFmtId="0" fontId="27" fillId="0" borderId="45" applyNumberFormat="0" applyFill="0" applyAlignment="0" applyProtection="0"/>
    <xf numFmtId="0" fontId="27" fillId="0" borderId="45" applyNumberFormat="0" applyFill="0" applyAlignment="0" applyProtection="0"/>
    <xf numFmtId="0" fontId="28" fillId="0" borderId="46" applyNumberFormat="0" applyFill="0" applyAlignment="0" applyProtection="0"/>
    <xf numFmtId="0" fontId="28" fillId="0" borderId="46" applyNumberFormat="0" applyFill="0" applyAlignment="0" applyProtection="0"/>
    <xf numFmtId="0" fontId="28" fillId="0" borderId="46" applyNumberFormat="0" applyFill="0" applyAlignment="0" applyProtection="0"/>
    <xf numFmtId="0" fontId="28" fillId="0" borderId="46" applyNumberFormat="0" applyFill="0" applyAlignment="0" applyProtection="0"/>
    <xf numFmtId="0" fontId="28" fillId="0" borderId="46" applyNumberFormat="0" applyFill="0" applyAlignment="0" applyProtection="0"/>
    <xf numFmtId="0" fontId="28" fillId="0" borderId="46" applyNumberFormat="0" applyFill="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2" fillId="0" borderId="0"/>
    <xf numFmtId="0" fontId="2" fillId="0" borderId="0"/>
    <xf numFmtId="0" fontId="15" fillId="0" borderId="0"/>
    <xf numFmtId="0" fontId="15" fillId="0" borderId="0"/>
    <xf numFmtId="0" fontId="15" fillId="0" borderId="0"/>
    <xf numFmtId="0" fontId="3" fillId="0" borderId="0"/>
    <xf numFmtId="0" fontId="3" fillId="0" borderId="0"/>
    <xf numFmtId="0" fontId="21" fillId="0" borderId="0"/>
    <xf numFmtId="0" fontId="3" fillId="0" borderId="0"/>
    <xf numFmtId="0" fontId="15" fillId="0" borderId="0"/>
    <xf numFmtId="0" fontId="2" fillId="0" borderId="0"/>
    <xf numFmtId="0" fontId="3" fillId="0" borderId="0"/>
    <xf numFmtId="0" fontId="2" fillId="0" borderId="0"/>
    <xf numFmtId="0" fontId="2" fillId="0" borderId="0"/>
    <xf numFmtId="0" fontId="2" fillId="0" borderId="0"/>
    <xf numFmtId="0" fontId="2" fillId="0" borderId="0"/>
    <xf numFmtId="0" fontId="3" fillId="0" borderId="0"/>
    <xf numFmtId="0" fontId="2" fillId="0" borderId="0"/>
    <xf numFmtId="0" fontId="15" fillId="24" borderId="47" applyNumberFormat="0" applyFont="0" applyAlignment="0" applyProtection="0"/>
    <xf numFmtId="0" fontId="15" fillId="24" borderId="47" applyNumberFormat="0" applyFont="0" applyAlignment="0" applyProtection="0"/>
    <xf numFmtId="0" fontId="15" fillId="24" borderId="47" applyNumberFormat="0" applyFont="0" applyAlignment="0" applyProtection="0"/>
    <xf numFmtId="0" fontId="15" fillId="24" borderId="47" applyNumberFormat="0" applyFont="0" applyAlignment="0" applyProtection="0"/>
    <xf numFmtId="0" fontId="15" fillId="24" borderId="47" applyNumberFormat="0" applyFont="0" applyAlignment="0" applyProtection="0"/>
    <xf numFmtId="0" fontId="15" fillId="24" borderId="47" applyNumberFormat="0" applyFon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1" fillId="0" borderId="48" applyNumberFormat="0" applyFill="0" applyAlignment="0" applyProtection="0"/>
    <xf numFmtId="0" fontId="31" fillId="0" borderId="48" applyNumberFormat="0" applyFill="0" applyAlignment="0" applyProtection="0"/>
    <xf numFmtId="0" fontId="31" fillId="0" borderId="48" applyNumberFormat="0" applyFill="0" applyAlignment="0" applyProtection="0"/>
    <xf numFmtId="0" fontId="31" fillId="0" borderId="48" applyNumberFormat="0" applyFill="0" applyAlignment="0" applyProtection="0"/>
    <xf numFmtId="0" fontId="31" fillId="0" borderId="48" applyNumberFormat="0" applyFill="0" applyAlignment="0" applyProtection="0"/>
    <xf numFmtId="0" fontId="31" fillId="0" borderId="48" applyNumberFormat="0" applyFill="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13" borderId="49" applyNumberFormat="0" applyAlignment="0" applyProtection="0"/>
    <xf numFmtId="0" fontId="34" fillId="13" borderId="49" applyNumberFormat="0" applyAlignment="0" applyProtection="0"/>
    <xf numFmtId="0" fontId="34" fillId="13" borderId="49" applyNumberFormat="0" applyAlignment="0" applyProtection="0"/>
    <xf numFmtId="0" fontId="34" fillId="13" borderId="49" applyNumberFormat="0" applyAlignment="0" applyProtection="0"/>
    <xf numFmtId="0" fontId="34" fillId="13" borderId="49" applyNumberFormat="0" applyAlignment="0" applyProtection="0"/>
    <xf numFmtId="0" fontId="34" fillId="13" borderId="49" applyNumberFormat="0" applyAlignment="0" applyProtection="0"/>
    <xf numFmtId="0" fontId="35" fillId="25" borderId="49" applyNumberFormat="0" applyAlignment="0" applyProtection="0"/>
    <xf numFmtId="0" fontId="35" fillId="25" borderId="49" applyNumberFormat="0" applyAlignment="0" applyProtection="0"/>
    <xf numFmtId="0" fontId="35" fillId="25" borderId="49" applyNumberFormat="0" applyAlignment="0" applyProtection="0"/>
    <xf numFmtId="0" fontId="35" fillId="25" borderId="49" applyNumberFormat="0" applyAlignment="0" applyProtection="0"/>
    <xf numFmtId="0" fontId="35" fillId="25" borderId="49" applyNumberFormat="0" applyAlignment="0" applyProtection="0"/>
    <xf numFmtId="0" fontId="35" fillId="25" borderId="49" applyNumberFormat="0" applyAlignment="0" applyProtection="0"/>
    <xf numFmtId="0" fontId="36" fillId="25" borderId="50" applyNumberFormat="0" applyAlignment="0" applyProtection="0"/>
    <xf numFmtId="0" fontId="36" fillId="25" borderId="50" applyNumberFormat="0" applyAlignment="0" applyProtection="0"/>
    <xf numFmtId="0" fontId="36" fillId="25" borderId="50" applyNumberFormat="0" applyAlignment="0" applyProtection="0"/>
    <xf numFmtId="0" fontId="36" fillId="25" borderId="50" applyNumberFormat="0" applyAlignment="0" applyProtection="0"/>
    <xf numFmtId="0" fontId="36" fillId="25" borderId="50" applyNumberFormat="0" applyAlignment="0" applyProtection="0"/>
    <xf numFmtId="0" fontId="36" fillId="25" borderId="50" applyNumberFormat="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3" fillId="0" borderId="0"/>
    <xf numFmtId="0" fontId="3" fillId="0" borderId="0"/>
    <xf numFmtId="9" fontId="3" fillId="0" borderId="0" applyFont="0" applyFill="0" applyBorder="0" applyAlignment="0" applyProtection="0"/>
    <xf numFmtId="0" fontId="1" fillId="0" borderId="0"/>
    <xf numFmtId="0" fontId="41" fillId="0" borderId="0"/>
    <xf numFmtId="0" fontId="42" fillId="0" borderId="0" applyNumberFormat="0" applyFill="0" applyBorder="0" applyAlignment="0" applyProtection="0"/>
    <xf numFmtId="0" fontId="43" fillId="0" borderId="0" applyNumberFormat="0" applyFill="0" applyBorder="0" applyAlignment="0" applyProtection="0"/>
    <xf numFmtId="178" fontId="44" fillId="0" borderId="0" applyFont="0" applyFill="0" applyBorder="0" applyAlignment="0" applyProtection="0"/>
    <xf numFmtId="9" fontId="44" fillId="0" borderId="0" applyFont="0" applyFill="0" applyBorder="0" applyAlignment="0" applyProtection="0"/>
    <xf numFmtId="0" fontId="90" fillId="0" borderId="0"/>
    <xf numFmtId="0" fontId="97" fillId="0" borderId="0" applyNumberFormat="0" applyFill="0" applyBorder="0" applyAlignment="0" applyProtection="0"/>
  </cellStyleXfs>
  <cellXfs count="2242">
    <xf numFmtId="0" fontId="0" fillId="0" borderId="0" xfId="0"/>
    <xf numFmtId="0" fontId="5" fillId="0" borderId="0" xfId="0" applyFont="1" applyProtection="1">
      <protection locked="0"/>
    </xf>
    <xf numFmtId="0" fontId="8" fillId="0" borderId="0" xfId="0" applyFont="1" applyProtection="1">
      <protection locked="0"/>
    </xf>
    <xf numFmtId="3" fontId="6" fillId="0" borderId="0" xfId="0" applyNumberFormat="1" applyFont="1" applyProtection="1">
      <protection locked="0"/>
    </xf>
    <xf numFmtId="0" fontId="17" fillId="0" borderId="0" xfId="0" applyFont="1" applyProtection="1">
      <protection locked="0"/>
    </xf>
    <xf numFmtId="3" fontId="17" fillId="0" borderId="0" xfId="0" applyNumberFormat="1" applyFont="1" applyProtection="1">
      <protection locked="0"/>
    </xf>
    <xf numFmtId="3" fontId="18" fillId="0" borderId="0" xfId="0" applyNumberFormat="1" applyFont="1" applyProtection="1">
      <protection locked="0"/>
    </xf>
    <xf numFmtId="3" fontId="5" fillId="0" borderId="0" xfId="0" applyNumberFormat="1" applyFont="1" applyProtection="1">
      <protection locked="0"/>
    </xf>
    <xf numFmtId="4" fontId="5" fillId="0" borderId="0" xfId="0" applyNumberFormat="1" applyFont="1" applyProtection="1">
      <protection locked="0"/>
    </xf>
    <xf numFmtId="3" fontId="5" fillId="0" borderId="0" xfId="9" applyNumberFormat="1" applyFont="1" applyProtection="1">
      <protection locked="0"/>
    </xf>
    <xf numFmtId="4" fontId="17" fillId="0" borderId="0" xfId="0" applyNumberFormat="1" applyFont="1" applyProtection="1">
      <protection locked="0"/>
    </xf>
    <xf numFmtId="0" fontId="9" fillId="0" borderId="0" xfId="0" applyFont="1" applyAlignment="1" applyProtection="1">
      <alignment vertical="center"/>
      <protection locked="0"/>
    </xf>
    <xf numFmtId="0" fontId="49" fillId="0" borderId="0" xfId="0" applyFont="1" applyProtection="1">
      <protection locked="0"/>
    </xf>
    <xf numFmtId="0" fontId="50" fillId="0" borderId="0" xfId="0" applyFont="1" applyProtection="1">
      <protection locked="0"/>
    </xf>
    <xf numFmtId="3" fontId="47" fillId="3" borderId="0" xfId="0" applyNumberFormat="1" applyFont="1" applyFill="1" applyProtection="1">
      <protection locked="0"/>
    </xf>
    <xf numFmtId="0" fontId="45" fillId="39" borderId="63" xfId="0" applyFont="1" applyFill="1" applyBorder="1" applyAlignment="1">
      <alignment horizontal="left"/>
    </xf>
    <xf numFmtId="0" fontId="45" fillId="39" borderId="65" xfId="0" applyFont="1" applyFill="1" applyBorder="1" applyAlignment="1">
      <alignment horizontal="left"/>
    </xf>
    <xf numFmtId="0" fontId="49" fillId="0" borderId="0" xfId="0" applyFont="1"/>
    <xf numFmtId="0" fontId="54" fillId="0" borderId="0" xfId="0" applyFont="1" applyProtection="1">
      <protection locked="0"/>
    </xf>
    <xf numFmtId="0" fontId="56" fillId="0" borderId="0" xfId="0" applyFont="1" applyProtection="1">
      <protection locked="0"/>
    </xf>
    <xf numFmtId="0" fontId="57" fillId="0" borderId="0" xfId="0" applyFont="1" applyProtection="1">
      <protection locked="0"/>
    </xf>
    <xf numFmtId="0" fontId="54" fillId="2" borderId="0" xfId="0" applyFont="1" applyFill="1"/>
    <xf numFmtId="0" fontId="60" fillId="0" borderId="0" xfId="0" applyFont="1" applyProtection="1">
      <protection locked="0"/>
    </xf>
    <xf numFmtId="0" fontId="54" fillId="0" borderId="0" xfId="0" applyFont="1"/>
    <xf numFmtId="0" fontId="55" fillId="38" borderId="0" xfId="0" applyFont="1" applyFill="1" applyAlignment="1">
      <alignment vertical="center" wrapText="1"/>
    </xf>
    <xf numFmtId="0" fontId="63" fillId="38" borderId="0" xfId="0" applyFont="1" applyFill="1" applyAlignment="1">
      <alignment horizontal="center" vertical="center" wrapText="1"/>
    </xf>
    <xf numFmtId="0" fontId="54" fillId="38" borderId="73" xfId="0" applyFont="1" applyFill="1" applyBorder="1"/>
    <xf numFmtId="0" fontId="54" fillId="38" borderId="55" xfId="0" applyFont="1" applyFill="1" applyBorder="1"/>
    <xf numFmtId="0" fontId="54" fillId="38" borderId="56" xfId="0" applyFont="1" applyFill="1" applyBorder="1"/>
    <xf numFmtId="0" fontId="54" fillId="38" borderId="75" xfId="0" applyFont="1" applyFill="1" applyBorder="1"/>
    <xf numFmtId="0" fontId="54" fillId="38" borderId="57" xfId="0" applyFont="1" applyFill="1" applyBorder="1"/>
    <xf numFmtId="0" fontId="54" fillId="38" borderId="58" xfId="0" applyFont="1" applyFill="1" applyBorder="1"/>
    <xf numFmtId="0" fontId="54" fillId="38" borderId="59" xfId="0" applyFont="1" applyFill="1" applyBorder="1"/>
    <xf numFmtId="0" fontId="54" fillId="38" borderId="60" xfId="0" applyFont="1" applyFill="1" applyBorder="1"/>
    <xf numFmtId="0" fontId="54" fillId="38" borderId="0" xfId="0" applyFont="1" applyFill="1"/>
    <xf numFmtId="0" fontId="54" fillId="38" borderId="0" xfId="0" applyFont="1" applyFill="1" applyAlignment="1">
      <alignment horizontal="right" vertical="center"/>
    </xf>
    <xf numFmtId="0" fontId="54" fillId="38" borderId="0" xfId="0" applyFont="1" applyFill="1" applyAlignment="1">
      <alignment horizontal="right"/>
    </xf>
    <xf numFmtId="0" fontId="58" fillId="38" borderId="0" xfId="0" applyFont="1" applyFill="1" applyAlignment="1">
      <alignment horizontal="center"/>
    </xf>
    <xf numFmtId="0" fontId="53" fillId="38" borderId="0" xfId="0" applyFont="1" applyFill="1"/>
    <xf numFmtId="0" fontId="61" fillId="0" borderId="0" xfId="0" applyFont="1" applyAlignment="1">
      <alignment vertical="center"/>
    </xf>
    <xf numFmtId="170" fontId="54" fillId="38" borderId="0" xfId="0" applyNumberFormat="1" applyFont="1" applyFill="1" applyProtection="1">
      <protection hidden="1"/>
    </xf>
    <xf numFmtId="0" fontId="61" fillId="38" borderId="0" xfId="0" applyFont="1" applyFill="1"/>
    <xf numFmtId="0" fontId="64" fillId="38" borderId="0" xfId="0" applyFont="1" applyFill="1"/>
    <xf numFmtId="170" fontId="64" fillId="38" borderId="0" xfId="0" applyNumberFormat="1" applyFont="1" applyFill="1" applyProtection="1">
      <protection hidden="1"/>
    </xf>
    <xf numFmtId="0" fontId="55" fillId="3" borderId="91" xfId="0" applyFont="1" applyFill="1" applyBorder="1" applyAlignment="1" applyProtection="1">
      <alignment horizontal="center"/>
      <protection locked="0"/>
    </xf>
    <xf numFmtId="168" fontId="54" fillId="38" borderId="0" xfId="0" applyNumberFormat="1" applyFont="1" applyFill="1" applyAlignment="1">
      <alignment horizontal="center"/>
    </xf>
    <xf numFmtId="0" fontId="61" fillId="0" borderId="0" xfId="0" applyFont="1" applyProtection="1">
      <protection locked="0"/>
    </xf>
    <xf numFmtId="0" fontId="54" fillId="38" borderId="0" xfId="0" applyFont="1" applyFill="1" applyProtection="1">
      <protection hidden="1"/>
    </xf>
    <xf numFmtId="0" fontId="54" fillId="38" borderId="57" xfId="0" applyFont="1" applyFill="1" applyBorder="1" applyAlignment="1">
      <alignment horizontal="left"/>
    </xf>
    <xf numFmtId="10" fontId="54" fillId="38" borderId="57" xfId="35" applyNumberFormat="1" applyFont="1" applyFill="1" applyBorder="1" applyAlignment="1" applyProtection="1">
      <alignment horizontal="center"/>
    </xf>
    <xf numFmtId="0" fontId="61" fillId="38" borderId="58" xfId="0" applyFont="1" applyFill="1" applyBorder="1"/>
    <xf numFmtId="0" fontId="61" fillId="38" borderId="59" xfId="0" applyFont="1" applyFill="1" applyBorder="1"/>
    <xf numFmtId="0" fontId="61" fillId="38" borderId="60" xfId="0" applyFont="1" applyFill="1" applyBorder="1"/>
    <xf numFmtId="0" fontId="54" fillId="0" borderId="99" xfId="0" applyFont="1" applyBorder="1" applyAlignment="1">
      <alignment horizontal="center"/>
    </xf>
    <xf numFmtId="0" fontId="54" fillId="0" borderId="100" xfId="0" applyFont="1" applyBorder="1" applyAlignment="1">
      <alignment horizontal="center"/>
    </xf>
    <xf numFmtId="10" fontId="54" fillId="38" borderId="57" xfId="36" applyNumberFormat="1" applyFont="1" applyFill="1" applyBorder="1" applyAlignment="1" applyProtection="1">
      <alignment horizontal="center"/>
    </xf>
    <xf numFmtId="0" fontId="54" fillId="2" borderId="73" xfId="0" applyFont="1" applyFill="1" applyBorder="1"/>
    <xf numFmtId="0" fontId="54" fillId="2" borderId="55" xfId="0" applyFont="1" applyFill="1" applyBorder="1"/>
    <xf numFmtId="0" fontId="62" fillId="2" borderId="55" xfId="0" applyFont="1" applyFill="1" applyBorder="1" applyAlignment="1">
      <alignment horizontal="center"/>
    </xf>
    <xf numFmtId="0" fontId="54" fillId="2" borderId="56" xfId="0" applyFont="1" applyFill="1" applyBorder="1"/>
    <xf numFmtId="0" fontId="54" fillId="2" borderId="75" xfId="0" applyFont="1" applyFill="1" applyBorder="1"/>
    <xf numFmtId="0" fontId="53" fillId="2" borderId="0" xfId="0" applyFont="1" applyFill="1" applyAlignment="1">
      <alignment horizontal="left"/>
    </xf>
    <xf numFmtId="0" fontId="54" fillId="2" borderId="57" xfId="0" applyFont="1" applyFill="1" applyBorder="1"/>
    <xf numFmtId="0" fontId="54" fillId="2" borderId="58" xfId="0" applyFont="1" applyFill="1" applyBorder="1"/>
    <xf numFmtId="0" fontId="54" fillId="2" borderId="59" xfId="0" applyFont="1" applyFill="1" applyBorder="1"/>
    <xf numFmtId="0" fontId="54" fillId="2" borderId="60" xfId="0" applyFont="1" applyFill="1" applyBorder="1"/>
    <xf numFmtId="0" fontId="65" fillId="0" borderId="0" xfId="0" applyFont="1" applyAlignment="1" applyProtection="1">
      <alignment horizontal="left" vertical="center" wrapText="1"/>
      <protection locked="0"/>
    </xf>
    <xf numFmtId="0" fontId="59" fillId="0" borderId="0" xfId="0" applyFont="1" applyAlignment="1" applyProtection="1">
      <alignment horizontal="center" vertical="center" wrapText="1"/>
      <protection locked="0"/>
    </xf>
    <xf numFmtId="10" fontId="59" fillId="0" borderId="0" xfId="0" applyNumberFormat="1" applyFont="1" applyAlignment="1" applyProtection="1">
      <alignment horizontal="center" vertical="center" wrapText="1"/>
      <protection locked="0"/>
    </xf>
    <xf numFmtId="3" fontId="59" fillId="0" borderId="0" xfId="0" applyNumberFormat="1" applyFont="1" applyAlignment="1" applyProtection="1">
      <alignment horizontal="center" vertical="center" wrapText="1"/>
      <protection locked="0"/>
    </xf>
    <xf numFmtId="0" fontId="49" fillId="0" borderId="0" xfId="0" applyFont="1" applyAlignment="1" applyProtection="1">
      <alignment horizontal="center"/>
      <protection locked="0"/>
    </xf>
    <xf numFmtId="2" fontId="49" fillId="0" borderId="0" xfId="0" applyNumberFormat="1" applyFont="1" applyProtection="1">
      <protection locked="0"/>
    </xf>
    <xf numFmtId="0" fontId="51" fillId="0" borderId="0" xfId="0" applyFont="1" applyAlignment="1">
      <alignment horizontal="left"/>
    </xf>
    <xf numFmtId="0" fontId="49" fillId="0" borderId="0" xfId="0" quotePrefix="1" applyFont="1" applyProtection="1">
      <protection locked="0"/>
    </xf>
    <xf numFmtId="3" fontId="67" fillId="0" borderId="0" xfId="0" applyNumberFormat="1" applyFont="1"/>
    <xf numFmtId="171" fontId="53" fillId="0" borderId="0" xfId="0" applyNumberFormat="1" applyFont="1" applyAlignment="1">
      <alignment horizontal="center" vertical="center"/>
    </xf>
    <xf numFmtId="3" fontId="49" fillId="0" borderId="0" xfId="0" applyNumberFormat="1" applyFont="1" applyAlignment="1">
      <alignment horizontal="center"/>
    </xf>
    <xf numFmtId="1" fontId="46" fillId="0" borderId="0" xfId="0" applyNumberFormat="1" applyFont="1" applyAlignment="1">
      <alignment horizontal="center"/>
    </xf>
    <xf numFmtId="0" fontId="66" fillId="0" borderId="0" xfId="0" applyFont="1" applyAlignment="1">
      <alignment horizontal="center" vertical="center"/>
    </xf>
    <xf numFmtId="0" fontId="45" fillId="39" borderId="91" xfId="0" applyFont="1" applyFill="1" applyBorder="1" applyAlignment="1">
      <alignment horizontal="center" vertical="center"/>
    </xf>
    <xf numFmtId="0" fontId="53" fillId="39" borderId="91" xfId="0" applyFont="1" applyFill="1" applyBorder="1" applyAlignment="1">
      <alignment vertical="center"/>
    </xf>
    <xf numFmtId="0" fontId="66" fillId="39" borderId="91" xfId="0" applyFont="1" applyFill="1" applyBorder="1" applyAlignment="1">
      <alignment horizontal="center" vertical="center"/>
    </xf>
    <xf numFmtId="0" fontId="49" fillId="6" borderId="78" xfId="0" applyFont="1" applyFill="1" applyBorder="1"/>
    <xf numFmtId="0" fontId="66" fillId="6" borderId="71" xfId="0" applyFont="1" applyFill="1" applyBorder="1" applyAlignment="1">
      <alignment horizontal="left"/>
    </xf>
    <xf numFmtId="0" fontId="45" fillId="39" borderId="89" xfId="0" applyFont="1" applyFill="1" applyBorder="1" applyAlignment="1">
      <alignment horizontal="center" vertical="center"/>
    </xf>
    <xf numFmtId="1" fontId="46" fillId="6" borderId="91" xfId="0" applyNumberFormat="1" applyFont="1" applyFill="1" applyBorder="1" applyAlignment="1">
      <alignment horizontal="center"/>
    </xf>
    <xf numFmtId="0" fontId="66" fillId="39" borderId="93" xfId="0" applyFont="1" applyFill="1" applyBorder="1" applyAlignment="1">
      <alignment horizontal="center" vertical="center"/>
    </xf>
    <xf numFmtId="0" fontId="53" fillId="39" borderId="89" xfId="0" applyFont="1" applyFill="1" applyBorder="1" applyAlignment="1">
      <alignment vertical="center"/>
    </xf>
    <xf numFmtId="0" fontId="49" fillId="34" borderId="73" xfId="0" applyFont="1" applyFill="1" applyBorder="1"/>
    <xf numFmtId="0" fontId="51" fillId="34" borderId="56" xfId="0" applyFont="1" applyFill="1" applyBorder="1" applyAlignment="1">
      <alignment horizontal="left"/>
    </xf>
    <xf numFmtId="0" fontId="49" fillId="34" borderId="75" xfId="0" applyFont="1" applyFill="1" applyBorder="1"/>
    <xf numFmtId="0" fontId="51" fillId="34" borderId="57" xfId="0" applyFont="1" applyFill="1" applyBorder="1" applyAlignment="1">
      <alignment horizontal="left"/>
    </xf>
    <xf numFmtId="0" fontId="49" fillId="34" borderId="58" xfId="0" applyFont="1" applyFill="1" applyBorder="1"/>
    <xf numFmtId="0" fontId="51" fillId="34" borderId="60" xfId="0" applyFont="1" applyFill="1" applyBorder="1" applyAlignment="1">
      <alignment horizontal="left"/>
    </xf>
    <xf numFmtId="0" fontId="49" fillId="6" borderId="89" xfId="0" applyFont="1" applyFill="1" applyBorder="1"/>
    <xf numFmtId="0" fontId="48" fillId="6" borderId="93" xfId="0" applyFont="1" applyFill="1" applyBorder="1" applyAlignment="1">
      <alignment horizontal="right"/>
    </xf>
    <xf numFmtId="3" fontId="48" fillId="0" borderId="91" xfId="0" applyNumberFormat="1" applyFont="1" applyBorder="1" applyAlignment="1">
      <alignment horizontal="center"/>
    </xf>
    <xf numFmtId="16" fontId="45" fillId="39" borderId="91" xfId="0" applyNumberFormat="1" applyFont="1" applyFill="1" applyBorder="1" applyAlignment="1">
      <alignment horizontal="center" vertical="center"/>
    </xf>
    <xf numFmtId="0" fontId="53" fillId="39" borderId="91" xfId="0" applyFont="1" applyFill="1" applyBorder="1" applyAlignment="1">
      <alignment horizontal="left" vertical="center"/>
    </xf>
    <xf numFmtId="0" fontId="49" fillId="34" borderId="89" xfId="0" applyFont="1" applyFill="1" applyBorder="1"/>
    <xf numFmtId="0" fontId="47" fillId="34" borderId="93" xfId="0" applyFont="1" applyFill="1" applyBorder="1"/>
    <xf numFmtId="0" fontId="53" fillId="39" borderId="92" xfId="0" applyFont="1" applyFill="1" applyBorder="1" applyAlignment="1">
      <alignment vertical="center"/>
    </xf>
    <xf numFmtId="3" fontId="49" fillId="0" borderId="0" xfId="0" applyNumberFormat="1" applyFont="1" applyProtection="1">
      <protection locked="0"/>
    </xf>
    <xf numFmtId="16" fontId="49" fillId="0" borderId="0" xfId="0" quotePrefix="1" applyNumberFormat="1" applyFont="1" applyProtection="1">
      <protection locked="0"/>
    </xf>
    <xf numFmtId="4" fontId="49" fillId="0" borderId="0" xfId="0" applyNumberFormat="1" applyFont="1" applyProtection="1">
      <protection locked="0"/>
    </xf>
    <xf numFmtId="16" fontId="49" fillId="0" borderId="0" xfId="0" applyNumberFormat="1" applyFont="1" applyProtection="1">
      <protection locked="0"/>
    </xf>
    <xf numFmtId="0" fontId="46" fillId="0" borderId="0" xfId="0" applyFont="1" applyProtection="1">
      <protection locked="0"/>
    </xf>
    <xf numFmtId="3" fontId="47" fillId="0" borderId="0" xfId="0" applyNumberFormat="1" applyFont="1" applyProtection="1">
      <protection locked="0"/>
    </xf>
    <xf numFmtId="0" fontId="50" fillId="0" borderId="0" xfId="0" applyFont="1" applyAlignment="1" applyProtection="1">
      <alignment horizontal="left"/>
      <protection locked="0"/>
    </xf>
    <xf numFmtId="0" fontId="66" fillId="0" borderId="0" xfId="0" applyFont="1" applyProtection="1">
      <protection locked="0"/>
    </xf>
    <xf numFmtId="3" fontId="47" fillId="3" borderId="101" xfId="11" applyNumberFormat="1" applyFont="1" applyFill="1" applyBorder="1" applyProtection="1">
      <protection locked="0"/>
    </xf>
    <xf numFmtId="3" fontId="47" fillId="3" borderId="103" xfId="11" applyNumberFormat="1" applyFont="1" applyFill="1" applyBorder="1" applyProtection="1">
      <protection locked="0"/>
    </xf>
    <xf numFmtId="3" fontId="66" fillId="0" borderId="79" xfId="0" applyNumberFormat="1" applyFont="1" applyBorder="1"/>
    <xf numFmtId="3" fontId="66" fillId="0" borderId="100" xfId="0" applyNumberFormat="1" applyFont="1" applyBorder="1"/>
    <xf numFmtId="3" fontId="47" fillId="31" borderId="0" xfId="0" applyNumberFormat="1" applyFont="1" applyFill="1" applyProtection="1">
      <protection locked="0"/>
    </xf>
    <xf numFmtId="3" fontId="47" fillId="3" borderId="0" xfId="9" applyNumberFormat="1" applyFont="1" applyFill="1" applyProtection="1">
      <protection locked="0"/>
    </xf>
    <xf numFmtId="0" fontId="47" fillId="5" borderId="0" xfId="0" applyFont="1" applyFill="1" applyAlignment="1" applyProtection="1">
      <alignment horizontal="left"/>
      <protection locked="0"/>
    </xf>
    <xf numFmtId="0" fontId="19" fillId="0" borderId="0" xfId="0" applyFont="1" applyAlignment="1" applyProtection="1">
      <alignment vertical="center"/>
      <protection locked="0"/>
    </xf>
    <xf numFmtId="0" fontId="53" fillId="39" borderId="62" xfId="0" applyFont="1" applyFill="1" applyBorder="1" applyAlignment="1">
      <alignment horizontal="center"/>
    </xf>
    <xf numFmtId="0" fontId="51" fillId="39" borderId="78" xfId="0" applyFont="1" applyFill="1" applyBorder="1" applyAlignment="1">
      <alignment horizontal="left"/>
    </xf>
    <xf numFmtId="0" fontId="46" fillId="39" borderId="72" xfId="0" applyFont="1" applyFill="1" applyBorder="1" applyAlignment="1">
      <alignment horizontal="center"/>
    </xf>
    <xf numFmtId="3" fontId="47" fillId="34" borderId="57" xfId="0" applyNumberFormat="1" applyFont="1" applyFill="1" applyBorder="1"/>
    <xf numFmtId="0" fontId="50" fillId="39" borderId="79" xfId="0" applyFont="1" applyFill="1" applyBorder="1"/>
    <xf numFmtId="0" fontId="53" fillId="7" borderId="62" xfId="0" applyFont="1" applyFill="1" applyBorder="1" applyAlignment="1">
      <alignment horizontal="center"/>
    </xf>
    <xf numFmtId="0" fontId="45" fillId="7" borderId="63" xfId="0" applyFont="1" applyFill="1" applyBorder="1" applyAlignment="1">
      <alignment horizontal="left"/>
    </xf>
    <xf numFmtId="0" fontId="45" fillId="7" borderId="65" xfId="0" applyFont="1" applyFill="1" applyBorder="1" applyAlignment="1">
      <alignment horizontal="left"/>
    </xf>
    <xf numFmtId="0" fontId="51" fillId="7" borderId="78" xfId="0" applyFont="1" applyFill="1" applyBorder="1" applyAlignment="1">
      <alignment horizontal="left"/>
    </xf>
    <xf numFmtId="0" fontId="50" fillId="7" borderId="79" xfId="0" applyFont="1" applyFill="1" applyBorder="1"/>
    <xf numFmtId="0" fontId="53" fillId="39" borderId="61" xfId="0" applyFont="1" applyFill="1" applyBorder="1" applyAlignment="1">
      <alignment horizontal="center"/>
    </xf>
    <xf numFmtId="0" fontId="45" fillId="39" borderId="109" xfId="0" applyFont="1" applyFill="1" applyBorder="1" applyAlignment="1">
      <alignment horizontal="left"/>
    </xf>
    <xf numFmtId="0" fontId="45" fillId="39" borderId="108" xfId="0" applyFont="1" applyFill="1" applyBorder="1" applyAlignment="1">
      <alignment horizontal="left"/>
    </xf>
    <xf numFmtId="0" fontId="51" fillId="39" borderId="110" xfId="0" applyFont="1" applyFill="1" applyBorder="1" applyAlignment="1">
      <alignment horizontal="left"/>
    </xf>
    <xf numFmtId="0" fontId="53" fillId="7" borderId="73" xfId="0" applyFont="1" applyFill="1" applyBorder="1" applyAlignment="1">
      <alignment horizontal="center"/>
    </xf>
    <xf numFmtId="0" fontId="46" fillId="7" borderId="72" xfId="0" applyFont="1" applyFill="1" applyBorder="1" applyAlignment="1">
      <alignment horizontal="center"/>
    </xf>
    <xf numFmtId="0" fontId="53" fillId="7" borderId="61" xfId="0" applyFont="1" applyFill="1" applyBorder="1" applyAlignment="1">
      <alignment horizontal="center"/>
    </xf>
    <xf numFmtId="179" fontId="47" fillId="34" borderId="75" xfId="0" applyNumberFormat="1" applyFont="1" applyFill="1" applyBorder="1" applyAlignment="1">
      <alignment horizontal="center"/>
    </xf>
    <xf numFmtId="179" fontId="47" fillId="34" borderId="0" xfId="0" applyNumberFormat="1" applyFont="1" applyFill="1" applyAlignment="1">
      <alignment horizontal="left"/>
    </xf>
    <xf numFmtId="179" fontId="47" fillId="34" borderId="58" xfId="0" quotePrefix="1" applyNumberFormat="1" applyFont="1" applyFill="1" applyBorder="1" applyAlignment="1">
      <alignment horizontal="center"/>
    </xf>
    <xf numFmtId="179" fontId="47" fillId="34" borderId="59" xfId="0" applyNumberFormat="1" applyFont="1" applyFill="1" applyBorder="1" applyAlignment="1">
      <alignment horizontal="left"/>
    </xf>
    <xf numFmtId="0" fontId="49" fillId="0" borderId="0" xfId="12" applyFont="1" applyProtection="1">
      <protection locked="0"/>
    </xf>
    <xf numFmtId="168" fontId="49" fillId="0" borderId="0" xfId="12" applyNumberFormat="1" applyFont="1" applyProtection="1">
      <protection locked="0"/>
    </xf>
    <xf numFmtId="3" fontId="49" fillId="0" borderId="0" xfId="12" applyNumberFormat="1" applyFont="1" applyProtection="1">
      <protection locked="0"/>
    </xf>
    <xf numFmtId="0" fontId="54" fillId="0" borderId="0" xfId="12" applyFont="1" applyAlignment="1" applyProtection="1">
      <alignment horizontal="right"/>
      <protection locked="0"/>
    </xf>
    <xf numFmtId="0" fontId="49" fillId="0" borderId="0" xfId="12" applyFont="1" applyAlignment="1" applyProtection="1">
      <alignment horizontal="center"/>
      <protection locked="0"/>
    </xf>
    <xf numFmtId="170" fontId="61" fillId="0" borderId="0" xfId="12" applyNumberFormat="1" applyFont="1" applyAlignment="1" applyProtection="1">
      <alignment horizontal="center"/>
      <protection locked="0"/>
    </xf>
    <xf numFmtId="173" fontId="53" fillId="0" borderId="0" xfId="12" applyNumberFormat="1" applyFont="1" applyAlignment="1" applyProtection="1">
      <alignment horizontal="right"/>
      <protection locked="0"/>
    </xf>
    <xf numFmtId="173" fontId="53" fillId="0" borderId="0" xfId="12" applyNumberFormat="1" applyFont="1" applyAlignment="1" applyProtection="1">
      <alignment horizontal="left"/>
      <protection locked="0"/>
    </xf>
    <xf numFmtId="173" fontId="54" fillId="0" borderId="0" xfId="12" applyNumberFormat="1" applyFont="1" applyAlignment="1" applyProtection="1">
      <alignment horizontal="center"/>
      <protection locked="0"/>
    </xf>
    <xf numFmtId="0" fontId="65" fillId="2" borderId="6" xfId="12" applyFont="1" applyFill="1" applyBorder="1" applyAlignment="1">
      <alignment horizontal="center" wrapText="1"/>
    </xf>
    <xf numFmtId="0" fontId="48" fillId="2" borderId="39" xfId="0" applyFont="1" applyFill="1" applyBorder="1" applyAlignment="1">
      <alignment horizontal="center" vertical="center" wrapText="1"/>
    </xf>
    <xf numFmtId="0" fontId="48" fillId="2" borderId="21" xfId="0" applyFont="1" applyFill="1" applyBorder="1" applyAlignment="1">
      <alignment horizontal="center" vertical="center" wrapText="1"/>
    </xf>
    <xf numFmtId="0" fontId="48" fillId="0" borderId="0" xfId="0" applyFont="1" applyAlignment="1" applyProtection="1">
      <alignment horizontal="center"/>
      <protection locked="0"/>
    </xf>
    <xf numFmtId="0" fontId="48" fillId="2" borderId="27" xfId="0" applyFont="1" applyFill="1" applyBorder="1" applyAlignment="1">
      <alignment horizontal="center" vertical="center"/>
    </xf>
    <xf numFmtId="0" fontId="48" fillId="2" borderId="16" xfId="0" applyFont="1" applyFill="1" applyBorder="1" applyAlignment="1">
      <alignment horizontal="center" vertical="center"/>
    </xf>
    <xf numFmtId="10" fontId="48" fillId="0" borderId="0" xfId="35" applyNumberFormat="1" applyFont="1" applyFill="1" applyBorder="1" applyAlignment="1" applyProtection="1">
      <alignment horizontal="center"/>
      <protection locked="0"/>
    </xf>
    <xf numFmtId="3" fontId="47" fillId="0" borderId="0" xfId="0" applyNumberFormat="1" applyFont="1" applyAlignment="1" applyProtection="1">
      <alignment horizontal="center"/>
      <protection locked="0"/>
    </xf>
    <xf numFmtId="3" fontId="51" fillId="0" borderId="0" xfId="0" applyNumberFormat="1" applyFont="1" applyAlignment="1" applyProtection="1">
      <alignment horizontal="left"/>
      <protection locked="0"/>
    </xf>
    <xf numFmtId="3" fontId="51" fillId="0" borderId="0" xfId="0" applyNumberFormat="1" applyFont="1" applyAlignment="1" applyProtection="1">
      <alignment horizontal="center"/>
      <protection locked="0"/>
    </xf>
    <xf numFmtId="0" fontId="68" fillId="0" borderId="0" xfId="12" applyFont="1" applyProtection="1">
      <protection locked="0"/>
    </xf>
    <xf numFmtId="3" fontId="68" fillId="0" borderId="0" xfId="12" applyNumberFormat="1" applyFont="1" applyProtection="1">
      <protection locked="0"/>
    </xf>
    <xf numFmtId="0" fontId="49" fillId="0" borderId="0" xfId="12" quotePrefix="1" applyFont="1" applyProtection="1">
      <protection locked="0"/>
    </xf>
    <xf numFmtId="3" fontId="70" fillId="0" borderId="0" xfId="0" quotePrefix="1" applyNumberFormat="1" applyFont="1" applyAlignment="1" applyProtection="1">
      <alignment horizontal="center"/>
      <protection locked="0"/>
    </xf>
    <xf numFmtId="0" fontId="69" fillId="0" borderId="0" xfId="12" applyFont="1" applyProtection="1">
      <protection locked="0"/>
    </xf>
    <xf numFmtId="169" fontId="46" fillId="0" borderId="37" xfId="12" applyNumberFormat="1" applyFont="1" applyBorder="1" applyAlignment="1">
      <alignment horizontal="center"/>
    </xf>
    <xf numFmtId="16" fontId="69" fillId="0" borderId="0" xfId="12" quotePrefix="1" applyNumberFormat="1" applyFont="1" applyProtection="1">
      <protection locked="0"/>
    </xf>
    <xf numFmtId="0" fontId="71" fillId="0" borderId="0" xfId="12" applyFont="1" applyProtection="1">
      <protection locked="0"/>
    </xf>
    <xf numFmtId="16" fontId="49" fillId="0" borderId="0" xfId="12" quotePrefix="1" applyNumberFormat="1" applyFont="1" applyProtection="1">
      <protection locked="0"/>
    </xf>
    <xf numFmtId="16" fontId="49" fillId="0" borderId="0" xfId="12" applyNumberFormat="1" applyFont="1" applyProtection="1">
      <protection locked="0"/>
    </xf>
    <xf numFmtId="0" fontId="50" fillId="0" borderId="0" xfId="12" applyFont="1" applyProtection="1">
      <protection locked="0"/>
    </xf>
    <xf numFmtId="3" fontId="50" fillId="0" borderId="0" xfId="12" applyNumberFormat="1" applyFont="1" applyProtection="1">
      <protection locked="0"/>
    </xf>
    <xf numFmtId="0" fontId="45" fillId="7" borderId="24" xfId="12" applyFont="1" applyFill="1" applyBorder="1" applyAlignment="1">
      <alignment horizontal="center"/>
    </xf>
    <xf numFmtId="0" fontId="45" fillId="7" borderId="18" xfId="12" applyFont="1" applyFill="1" applyBorder="1" applyAlignment="1">
      <alignment horizontal="left"/>
    </xf>
    <xf numFmtId="0" fontId="54" fillId="7" borderId="10" xfId="12" applyFont="1" applyFill="1" applyBorder="1"/>
    <xf numFmtId="0" fontId="53" fillId="7" borderId="33" xfId="12" applyFont="1" applyFill="1" applyBorder="1" applyAlignment="1">
      <alignment horizontal="center"/>
    </xf>
    <xf numFmtId="0" fontId="50" fillId="7" borderId="10" xfId="12" applyFont="1" applyFill="1" applyBorder="1" applyAlignment="1">
      <alignment horizontal="left"/>
    </xf>
    <xf numFmtId="0" fontId="66" fillId="0" borderId="0" xfId="12" applyFont="1" applyProtection="1">
      <protection locked="0"/>
    </xf>
    <xf numFmtId="170" fontId="47" fillId="3" borderId="0" xfId="9" applyNumberFormat="1" applyFont="1" applyFill="1" applyProtection="1">
      <protection locked="0"/>
    </xf>
    <xf numFmtId="0" fontId="68" fillId="0" borderId="0" xfId="0" applyFont="1" applyProtection="1">
      <protection locked="0"/>
    </xf>
    <xf numFmtId="3" fontId="51" fillId="32" borderId="61" xfId="0" applyNumberFormat="1" applyFont="1" applyFill="1" applyBorder="1" applyAlignment="1">
      <alignment horizontal="center"/>
    </xf>
    <xf numFmtId="3" fontId="51" fillId="32" borderId="101" xfId="0" applyNumberFormat="1" applyFont="1" applyFill="1" applyBorder="1" applyAlignment="1">
      <alignment horizontal="center"/>
    </xf>
    <xf numFmtId="3" fontId="68" fillId="32" borderId="62" xfId="0" applyNumberFormat="1" applyFont="1" applyFill="1" applyBorder="1" applyAlignment="1">
      <alignment horizontal="center"/>
    </xf>
    <xf numFmtId="3" fontId="68" fillId="32" borderId="101" xfId="0" applyNumberFormat="1" applyFont="1" applyFill="1" applyBorder="1" applyAlignment="1">
      <alignment horizontal="center"/>
    </xf>
    <xf numFmtId="3" fontId="46" fillId="32" borderId="68" xfId="0" applyNumberFormat="1" applyFont="1" applyFill="1" applyBorder="1"/>
    <xf numFmtId="3" fontId="46" fillId="32" borderId="74" xfId="0" applyNumberFormat="1" applyFont="1" applyFill="1" applyBorder="1"/>
    <xf numFmtId="3" fontId="46" fillId="32" borderId="67" xfId="0" applyNumberFormat="1" applyFont="1" applyFill="1" applyBorder="1"/>
    <xf numFmtId="0" fontId="53" fillId="39" borderId="24" xfId="12" applyFont="1" applyFill="1" applyBorder="1" applyAlignment="1">
      <alignment horizontal="center"/>
    </xf>
    <xf numFmtId="0" fontId="53" fillId="39" borderId="18" xfId="12" applyFont="1" applyFill="1" applyBorder="1" applyAlignment="1">
      <alignment horizontal="left"/>
    </xf>
    <xf numFmtId="0" fontId="54" fillId="39" borderId="10" xfId="12" applyFont="1" applyFill="1" applyBorder="1"/>
    <xf numFmtId="0" fontId="53" fillId="39" borderId="33" xfId="12" applyFont="1" applyFill="1" applyBorder="1" applyAlignment="1">
      <alignment horizontal="center"/>
    </xf>
    <xf numFmtId="0" fontId="46" fillId="39" borderId="16" xfId="12" applyFont="1" applyFill="1" applyBorder="1" applyAlignment="1">
      <alignment horizontal="center"/>
    </xf>
    <xf numFmtId="0" fontId="45" fillId="39" borderId="18" xfId="12" applyFont="1" applyFill="1" applyBorder="1" applyAlignment="1">
      <alignment horizontal="left"/>
    </xf>
    <xf numFmtId="0" fontId="50" fillId="39" borderId="10" xfId="12" applyFont="1" applyFill="1" applyBorder="1" applyAlignment="1">
      <alignment horizontal="left"/>
    </xf>
    <xf numFmtId="0" fontId="53" fillId="39" borderId="18" xfId="0" applyFont="1" applyFill="1" applyBorder="1" applyAlignment="1">
      <alignment horizontal="left"/>
    </xf>
    <xf numFmtId="0" fontId="45" fillId="39" borderId="24" xfId="12" applyFont="1" applyFill="1" applyBorder="1" applyAlignment="1">
      <alignment horizontal="center"/>
    </xf>
    <xf numFmtId="16" fontId="49" fillId="6" borderId="13" xfId="12" applyNumberFormat="1" applyFont="1" applyFill="1" applyBorder="1"/>
    <xf numFmtId="173" fontId="46" fillId="6" borderId="13" xfId="12" applyNumberFormat="1" applyFont="1" applyFill="1" applyBorder="1"/>
    <xf numFmtId="16" fontId="49" fillId="36" borderId="13" xfId="12" applyNumberFormat="1" applyFont="1" applyFill="1" applyBorder="1"/>
    <xf numFmtId="173" fontId="46" fillId="36" borderId="13" xfId="12" applyNumberFormat="1" applyFont="1" applyFill="1" applyBorder="1"/>
    <xf numFmtId="3" fontId="47" fillId="32" borderId="22" xfId="12" applyNumberFormat="1" applyFont="1" applyFill="1" applyBorder="1" applyAlignment="1">
      <alignment horizontal="center"/>
    </xf>
    <xf numFmtId="3" fontId="47" fillId="32" borderId="15" xfId="12" applyNumberFormat="1" applyFont="1" applyFill="1" applyBorder="1" applyAlignment="1">
      <alignment horizontal="center"/>
    </xf>
    <xf numFmtId="0" fontId="51" fillId="34" borderId="0" xfId="12" applyFont="1" applyFill="1"/>
    <xf numFmtId="0" fontId="69" fillId="34" borderId="4" xfId="12" applyFont="1" applyFill="1" applyBorder="1"/>
    <xf numFmtId="0" fontId="69" fillId="34" borderId="1" xfId="12" applyFont="1" applyFill="1" applyBorder="1"/>
    <xf numFmtId="0" fontId="69" fillId="34" borderId="9" xfId="12" applyFont="1" applyFill="1" applyBorder="1"/>
    <xf numFmtId="0" fontId="47" fillId="34" borderId="18" xfId="12" applyFont="1" applyFill="1" applyBorder="1"/>
    <xf numFmtId="0" fontId="47" fillId="34" borderId="0" xfId="12" applyFont="1" applyFill="1"/>
    <xf numFmtId="169" fontId="46" fillId="34" borderId="7" xfId="12" applyNumberFormat="1" applyFont="1" applyFill="1" applyBorder="1" applyAlignment="1">
      <alignment horizontal="center"/>
    </xf>
    <xf numFmtId="3" fontId="49" fillId="32" borderId="4" xfId="12" applyNumberFormat="1" applyFont="1" applyFill="1" applyBorder="1" applyAlignment="1" applyProtection="1">
      <alignment horizontal="center"/>
      <protection hidden="1"/>
    </xf>
    <xf numFmtId="10" fontId="49" fillId="32" borderId="5" xfId="36" applyNumberFormat="1" applyFont="1" applyFill="1" applyBorder="1" applyAlignment="1" applyProtection="1">
      <alignment horizontal="center"/>
      <protection hidden="1"/>
    </xf>
    <xf numFmtId="10" fontId="49" fillId="32" borderId="6" xfId="36" applyNumberFormat="1" applyFont="1" applyFill="1" applyBorder="1" applyAlignment="1" applyProtection="1">
      <alignment horizontal="center"/>
      <protection hidden="1"/>
    </xf>
    <xf numFmtId="3" fontId="49" fillId="32" borderId="1" xfId="9" applyNumberFormat="1" applyFont="1" applyFill="1" applyBorder="1" applyAlignment="1" applyProtection="1">
      <alignment horizontal="center"/>
      <protection hidden="1"/>
    </xf>
    <xf numFmtId="3" fontId="49" fillId="32" borderId="0" xfId="9" applyNumberFormat="1" applyFont="1" applyFill="1" applyAlignment="1" applyProtection="1">
      <alignment horizontal="center"/>
      <protection hidden="1"/>
    </xf>
    <xf numFmtId="3" fontId="49" fillId="32" borderId="7" xfId="9" applyNumberFormat="1" applyFont="1" applyFill="1" applyBorder="1" applyAlignment="1" applyProtection="1">
      <alignment horizontal="center"/>
      <protection hidden="1"/>
    </xf>
    <xf numFmtId="169" fontId="46" fillId="0" borderId="21" xfId="12" applyNumberFormat="1" applyFont="1" applyBorder="1" applyAlignment="1">
      <alignment horizontal="center"/>
    </xf>
    <xf numFmtId="10" fontId="49" fillId="32" borderId="4" xfId="36" applyNumberFormat="1" applyFont="1" applyFill="1" applyBorder="1" applyAlignment="1" applyProtection="1">
      <alignment horizontal="center"/>
      <protection hidden="1"/>
    </xf>
    <xf numFmtId="0" fontId="49" fillId="34" borderId="4" xfId="12" applyFont="1" applyFill="1" applyBorder="1"/>
    <xf numFmtId="0" fontId="51" fillId="34" borderId="5" xfId="9" applyFont="1" applyFill="1" applyBorder="1"/>
    <xf numFmtId="3" fontId="46" fillId="34" borderId="6" xfId="12" applyNumberFormat="1" applyFont="1" applyFill="1" applyBorder="1"/>
    <xf numFmtId="0" fontId="49" fillId="34" borderId="1" xfId="12" applyFont="1" applyFill="1" applyBorder="1"/>
    <xf numFmtId="0" fontId="51" fillId="34" borderId="0" xfId="9" applyFont="1" applyFill="1"/>
    <xf numFmtId="3" fontId="46" fillId="34" borderId="7" xfId="12" applyNumberFormat="1" applyFont="1" applyFill="1" applyBorder="1"/>
    <xf numFmtId="0" fontId="47" fillId="34" borderId="0" xfId="9" applyFont="1" applyFill="1"/>
    <xf numFmtId="16" fontId="49" fillId="34" borderId="13" xfId="12" applyNumberFormat="1" applyFont="1" applyFill="1" applyBorder="1"/>
    <xf numFmtId="0" fontId="49" fillId="34" borderId="1" xfId="0" applyFont="1" applyFill="1" applyBorder="1" applyProtection="1">
      <protection locked="0"/>
    </xf>
    <xf numFmtId="0" fontId="54" fillId="0" borderId="0" xfId="12" applyFont="1" applyProtection="1">
      <protection locked="0"/>
    </xf>
    <xf numFmtId="0" fontId="53" fillId="38" borderId="126" xfId="0" applyFont="1" applyFill="1" applyBorder="1"/>
    <xf numFmtId="0" fontId="54" fillId="38" borderId="126" xfId="0" applyFont="1" applyFill="1" applyBorder="1"/>
    <xf numFmtId="0" fontId="49" fillId="0" borderId="0" xfId="39" applyFont="1" applyProtection="1">
      <protection locked="0"/>
    </xf>
    <xf numFmtId="3" fontId="49" fillId="0" borderId="0" xfId="39" applyNumberFormat="1" applyFont="1" applyProtection="1">
      <protection locked="0"/>
    </xf>
    <xf numFmtId="0" fontId="46" fillId="0" borderId="0" xfId="39" applyFont="1" applyAlignment="1" applyProtection="1">
      <alignment vertical="center"/>
      <protection locked="0"/>
    </xf>
    <xf numFmtId="3" fontId="50" fillId="0" borderId="0" xfId="39" applyNumberFormat="1" applyFont="1" applyProtection="1">
      <protection locked="0"/>
    </xf>
    <xf numFmtId="0" fontId="50" fillId="0" borderId="0" xfId="39" applyFont="1" applyProtection="1">
      <protection locked="0"/>
    </xf>
    <xf numFmtId="0" fontId="50" fillId="0" borderId="0" xfId="39" applyFont="1" applyAlignment="1" applyProtection="1">
      <alignment horizontal="left"/>
      <protection locked="0"/>
    </xf>
    <xf numFmtId="0" fontId="66" fillId="0" borderId="0" xfId="39" applyFont="1" applyProtection="1">
      <protection locked="0"/>
    </xf>
    <xf numFmtId="0" fontId="73" fillId="0" borderId="0" xfId="39" applyFont="1" applyProtection="1">
      <protection locked="0"/>
    </xf>
    <xf numFmtId="3" fontId="47" fillId="3" borderId="0" xfId="39" applyNumberFormat="1" applyFont="1" applyFill="1" applyProtection="1">
      <protection locked="0"/>
    </xf>
    <xf numFmtId="3" fontId="49" fillId="0" borderId="0" xfId="332" applyNumberFormat="1" applyFont="1" applyProtection="1">
      <protection locked="0"/>
    </xf>
    <xf numFmtId="3" fontId="50" fillId="0" borderId="0" xfId="332" applyNumberFormat="1" applyFont="1" applyProtection="1">
      <protection locked="0"/>
    </xf>
    <xf numFmtId="0" fontId="45" fillId="39" borderId="24" xfId="332" applyFont="1" applyFill="1" applyBorder="1" applyAlignment="1">
      <alignment horizontal="center"/>
    </xf>
    <xf numFmtId="16" fontId="49" fillId="6" borderId="129" xfId="332" applyNumberFormat="1" applyFont="1" applyFill="1" applyBorder="1"/>
    <xf numFmtId="0" fontId="46" fillId="6" borderId="127" xfId="332" applyFont="1" applyFill="1" applyBorder="1"/>
    <xf numFmtId="3" fontId="46" fillId="6" borderId="131" xfId="332" applyNumberFormat="1" applyFont="1" applyFill="1" applyBorder="1"/>
    <xf numFmtId="16" fontId="49" fillId="36" borderId="129" xfId="332" applyNumberFormat="1" applyFont="1" applyFill="1" applyBorder="1"/>
    <xf numFmtId="0" fontId="46" fillId="36" borderId="127" xfId="332" applyFont="1" applyFill="1" applyBorder="1"/>
    <xf numFmtId="16" fontId="49" fillId="36" borderId="13" xfId="332" applyNumberFormat="1" applyFont="1" applyFill="1" applyBorder="1"/>
    <xf numFmtId="0" fontId="49" fillId="0" borderId="0" xfId="332" applyFont="1" applyProtection="1">
      <protection locked="0"/>
    </xf>
    <xf numFmtId="0" fontId="45" fillId="3" borderId="18" xfId="332" applyFont="1" applyFill="1" applyBorder="1" applyAlignment="1" applyProtection="1">
      <alignment horizontal="left"/>
      <protection locked="0"/>
    </xf>
    <xf numFmtId="0" fontId="46" fillId="0" borderId="0" xfId="332" applyFont="1" applyAlignment="1" applyProtection="1">
      <alignment vertical="center"/>
      <protection locked="0"/>
    </xf>
    <xf numFmtId="0" fontId="51" fillId="3" borderId="0" xfId="332" applyFont="1" applyFill="1" applyAlignment="1" applyProtection="1">
      <alignment horizontal="left"/>
      <protection locked="0"/>
    </xf>
    <xf numFmtId="16" fontId="49" fillId="0" borderId="0" xfId="332" quotePrefix="1" applyNumberFormat="1" applyFont="1" applyProtection="1">
      <protection locked="0"/>
    </xf>
    <xf numFmtId="4" fontId="49" fillId="0" borderId="0" xfId="332" applyNumberFormat="1" applyFont="1" applyProtection="1">
      <protection locked="0"/>
    </xf>
    <xf numFmtId="49" fontId="45" fillId="3" borderId="9" xfId="332" applyNumberFormat="1" applyFont="1" applyFill="1" applyBorder="1" applyAlignment="1" applyProtection="1">
      <alignment horizontal="left"/>
      <protection locked="0"/>
    </xf>
    <xf numFmtId="0" fontId="50" fillId="0" borderId="0" xfId="332" applyFont="1" applyProtection="1">
      <protection locked="0"/>
    </xf>
    <xf numFmtId="16" fontId="49" fillId="0" borderId="0" xfId="332" applyNumberFormat="1" applyFont="1" applyProtection="1">
      <protection locked="0"/>
    </xf>
    <xf numFmtId="0" fontId="50" fillId="0" borderId="0" xfId="332" applyFont="1" applyAlignment="1" applyProtection="1">
      <alignment horizontal="left"/>
      <protection locked="0"/>
    </xf>
    <xf numFmtId="3" fontId="47" fillId="3" borderId="0" xfId="332" applyNumberFormat="1" applyFont="1" applyFill="1" applyProtection="1">
      <protection locked="0"/>
    </xf>
    <xf numFmtId="0" fontId="53" fillId="39" borderId="33" xfId="332" applyFont="1" applyFill="1" applyBorder="1" applyAlignment="1">
      <alignment horizontal="center"/>
    </xf>
    <xf numFmtId="0" fontId="53" fillId="39" borderId="34" xfId="332" applyFont="1" applyFill="1" applyBorder="1" applyAlignment="1">
      <alignment horizontal="center"/>
    </xf>
    <xf numFmtId="0" fontId="52" fillId="0" borderId="8" xfId="332" applyFont="1" applyBorder="1"/>
    <xf numFmtId="0" fontId="52" fillId="0" borderId="11" xfId="332" applyFont="1" applyBorder="1"/>
    <xf numFmtId="0" fontId="49" fillId="0" borderId="11" xfId="332" applyFont="1" applyBorder="1"/>
    <xf numFmtId="0" fontId="49" fillId="0" borderId="11" xfId="332" applyFont="1" applyBorder="1" applyAlignment="1">
      <alignment horizontal="right"/>
    </xf>
    <xf numFmtId="0" fontId="49" fillId="0" borderId="12" xfId="332" applyFont="1" applyBorder="1"/>
    <xf numFmtId="0" fontId="75" fillId="0" borderId="0" xfId="332" applyFont="1" applyAlignment="1" applyProtection="1">
      <alignment horizontal="left"/>
      <protection locked="0"/>
    </xf>
    <xf numFmtId="3" fontId="49" fillId="0" borderId="0" xfId="332" applyNumberFormat="1" applyFont="1" applyAlignment="1" applyProtection="1">
      <alignment vertical="center"/>
      <protection locked="0"/>
    </xf>
    <xf numFmtId="16" fontId="75" fillId="0" borderId="0" xfId="332" applyNumberFormat="1" applyFont="1" applyAlignment="1" applyProtection="1">
      <alignment horizontal="left" vertical="center" wrapText="1"/>
      <protection locked="0"/>
    </xf>
    <xf numFmtId="16" fontId="75" fillId="0" borderId="0" xfId="332" applyNumberFormat="1" applyFont="1" applyAlignment="1" applyProtection="1">
      <alignment horizontal="left"/>
      <protection locked="0"/>
    </xf>
    <xf numFmtId="10" fontId="49" fillId="0" borderId="0" xfId="35" applyNumberFormat="1" applyFont="1" applyFill="1" applyBorder="1" applyAlignment="1" applyProtection="1">
      <alignment horizontal="center"/>
      <protection locked="0"/>
    </xf>
    <xf numFmtId="173" fontId="49" fillId="0" borderId="0" xfId="332" applyNumberFormat="1" applyFont="1" applyAlignment="1" applyProtection="1">
      <alignment horizontal="center"/>
      <protection locked="0"/>
    </xf>
    <xf numFmtId="0" fontId="66" fillId="0" borderId="0" xfId="332" applyFont="1" applyProtection="1">
      <protection locked="0"/>
    </xf>
    <xf numFmtId="0" fontId="49" fillId="0" borderId="5" xfId="332" applyFont="1" applyBorder="1" applyProtection="1">
      <protection locked="0"/>
    </xf>
    <xf numFmtId="10" fontId="68" fillId="0" borderId="0" xfId="35" applyNumberFormat="1" applyFont="1" applyFill="1" applyBorder="1" applyAlignment="1" applyProtection="1">
      <alignment horizontal="left"/>
      <protection locked="0"/>
    </xf>
    <xf numFmtId="0" fontId="45" fillId="39" borderId="18" xfId="332" applyFont="1" applyFill="1" applyBorder="1" applyAlignment="1">
      <alignment horizontal="left"/>
    </xf>
    <xf numFmtId="3" fontId="46" fillId="36" borderId="16" xfId="332" applyNumberFormat="1" applyFont="1" applyFill="1" applyBorder="1"/>
    <xf numFmtId="0" fontId="54" fillId="39" borderId="10" xfId="332" applyFont="1" applyFill="1" applyBorder="1"/>
    <xf numFmtId="0" fontId="50" fillId="39" borderId="10" xfId="332" applyFont="1" applyFill="1" applyBorder="1" applyAlignment="1">
      <alignment horizontal="left"/>
    </xf>
    <xf numFmtId="0" fontId="49" fillId="0" borderId="0" xfId="8" applyFont="1" applyProtection="1">
      <protection locked="0"/>
    </xf>
    <xf numFmtId="0" fontId="50" fillId="0" borderId="0" xfId="8" applyFont="1" applyProtection="1">
      <protection locked="0"/>
    </xf>
    <xf numFmtId="3" fontId="46" fillId="0" borderId="0" xfId="8" applyNumberFormat="1" applyFont="1" applyProtection="1">
      <protection locked="0"/>
    </xf>
    <xf numFmtId="170" fontId="50" fillId="0" borderId="0" xfId="8" applyNumberFormat="1" applyFont="1" applyProtection="1">
      <protection locked="0"/>
    </xf>
    <xf numFmtId="0" fontId="47" fillId="0" borderId="0" xfId="8" applyFont="1" applyProtection="1">
      <protection locked="0"/>
    </xf>
    <xf numFmtId="170" fontId="49" fillId="0" borderId="0" xfId="332" applyNumberFormat="1" applyFont="1" applyAlignment="1" applyProtection="1">
      <alignment horizontal="center"/>
      <protection locked="0"/>
    </xf>
    <xf numFmtId="0" fontId="46" fillId="0" borderId="1" xfId="0" applyFont="1" applyBorder="1" applyAlignment="1" applyProtection="1">
      <alignment vertical="center"/>
      <protection locked="0"/>
    </xf>
    <xf numFmtId="0" fontId="46" fillId="0" borderId="0" xfId="0" applyFont="1" applyAlignment="1" applyProtection="1">
      <alignment vertical="center"/>
      <protection locked="0"/>
    </xf>
    <xf numFmtId="0" fontId="49" fillId="0" borderId="7" xfId="0" applyFont="1" applyBorder="1" applyProtection="1">
      <protection locked="0"/>
    </xf>
    <xf numFmtId="0" fontId="46" fillId="0" borderId="0" xfId="0" applyFont="1" applyAlignment="1">
      <alignment vertical="center"/>
    </xf>
    <xf numFmtId="0" fontId="51" fillId="0" borderId="0" xfId="0" applyFont="1" applyProtection="1">
      <protection locked="0"/>
    </xf>
    <xf numFmtId="0" fontId="83" fillId="0" borderId="0" xfId="332" applyFont="1" applyProtection="1">
      <protection locked="0"/>
    </xf>
    <xf numFmtId="3" fontId="83" fillId="0" borderId="0" xfId="332" applyNumberFormat="1" applyFont="1" applyProtection="1">
      <protection locked="0"/>
    </xf>
    <xf numFmtId="0" fontId="83" fillId="0" borderId="0" xfId="8" applyFont="1" applyProtection="1">
      <protection locked="0"/>
    </xf>
    <xf numFmtId="0" fontId="53" fillId="39" borderId="24" xfId="332" applyFont="1" applyFill="1" applyBorder="1" applyAlignment="1">
      <alignment horizontal="center"/>
    </xf>
    <xf numFmtId="0" fontId="45" fillId="46" borderId="24" xfId="332" applyFont="1" applyFill="1" applyBorder="1" applyAlignment="1">
      <alignment horizontal="center"/>
    </xf>
    <xf numFmtId="0" fontId="45" fillId="46" borderId="18" xfId="332" applyFont="1" applyFill="1" applyBorder="1" applyAlignment="1">
      <alignment horizontal="left"/>
    </xf>
    <xf numFmtId="0" fontId="54" fillId="46" borderId="10" xfId="332" applyFont="1" applyFill="1" applyBorder="1"/>
    <xf numFmtId="0" fontId="53" fillId="46" borderId="33" xfId="332" applyFont="1" applyFill="1" applyBorder="1" applyAlignment="1">
      <alignment horizontal="center"/>
    </xf>
    <xf numFmtId="0" fontId="46" fillId="46" borderId="16" xfId="332" applyFont="1" applyFill="1" applyBorder="1" applyAlignment="1">
      <alignment horizontal="center"/>
    </xf>
    <xf numFmtId="0" fontId="50" fillId="46" borderId="10" xfId="332" applyFont="1" applyFill="1" applyBorder="1" applyAlignment="1">
      <alignment horizontal="left"/>
    </xf>
    <xf numFmtId="0" fontId="49" fillId="0" borderId="5" xfId="8" applyFont="1" applyBorder="1" applyProtection="1">
      <protection locked="0"/>
    </xf>
    <xf numFmtId="0" fontId="50" fillId="39" borderId="128" xfId="332" applyFont="1" applyFill="1" applyBorder="1"/>
    <xf numFmtId="3" fontId="49" fillId="0" borderId="0" xfId="8" applyNumberFormat="1" applyFont="1" applyProtection="1">
      <protection locked="0"/>
    </xf>
    <xf numFmtId="3" fontId="50" fillId="0" borderId="0" xfId="8" applyNumberFormat="1" applyFont="1" applyProtection="1">
      <protection locked="0"/>
    </xf>
    <xf numFmtId="3" fontId="49" fillId="0" borderId="0" xfId="8" applyNumberFormat="1" applyFont="1"/>
    <xf numFmtId="4" fontId="49" fillId="0" borderId="0" xfId="8" applyNumberFormat="1" applyFont="1" applyProtection="1">
      <protection locked="0"/>
    </xf>
    <xf numFmtId="0" fontId="50" fillId="0" borderId="0" xfId="8" applyFont="1" applyAlignment="1" applyProtection="1">
      <alignment horizontal="left" wrapText="1"/>
      <protection locked="0"/>
    </xf>
    <xf numFmtId="0" fontId="54" fillId="0" borderId="0" xfId="0" applyFont="1" applyAlignment="1" applyProtection="1">
      <alignment wrapText="1"/>
      <protection locked="0"/>
    </xf>
    <xf numFmtId="3" fontId="50" fillId="0" borderId="0" xfId="8" applyNumberFormat="1" applyFont="1" applyAlignment="1" applyProtection="1">
      <alignment horizontal="right"/>
      <protection locked="0"/>
    </xf>
    <xf numFmtId="4" fontId="49" fillId="0" borderId="0" xfId="8" applyNumberFormat="1" applyFont="1" applyAlignment="1" applyProtection="1">
      <alignment horizontal="right"/>
      <protection locked="0"/>
    </xf>
    <xf numFmtId="169" fontId="49" fillId="0" borderId="0" xfId="8" applyNumberFormat="1" applyFont="1" applyProtection="1">
      <protection locked="0"/>
    </xf>
    <xf numFmtId="0" fontId="47" fillId="0" borderId="0" xfId="0" applyFont="1" applyAlignment="1">
      <alignment vertical="center"/>
    </xf>
    <xf numFmtId="0" fontId="48" fillId="39" borderId="39" xfId="0" applyFont="1" applyFill="1" applyBorder="1" applyAlignment="1">
      <alignment horizontal="center" vertical="center"/>
    </xf>
    <xf numFmtId="0" fontId="48" fillId="39" borderId="21" xfId="0" applyFont="1" applyFill="1" applyBorder="1" applyAlignment="1">
      <alignment horizontal="center" vertical="center"/>
    </xf>
    <xf numFmtId="0" fontId="48" fillId="39" borderId="27" xfId="0" applyFont="1" applyFill="1" applyBorder="1" applyAlignment="1">
      <alignment horizontal="center" vertical="center"/>
    </xf>
    <xf numFmtId="0" fontId="48" fillId="39" borderId="28" xfId="0" applyFont="1" applyFill="1" applyBorder="1" applyAlignment="1">
      <alignment horizontal="center" vertical="center"/>
    </xf>
    <xf numFmtId="0" fontId="48" fillId="39" borderId="16" xfId="0" applyFont="1" applyFill="1" applyBorder="1" applyAlignment="1">
      <alignment horizontal="center" vertical="center"/>
    </xf>
    <xf numFmtId="0" fontId="51" fillId="34" borderId="0" xfId="0" applyFont="1" applyFill="1" applyAlignment="1">
      <alignment horizontal="left" vertical="center"/>
    </xf>
    <xf numFmtId="0" fontId="51" fillId="34" borderId="87" xfId="0" applyFont="1" applyFill="1" applyBorder="1" applyAlignment="1">
      <alignment horizontal="left" vertical="center"/>
    </xf>
    <xf numFmtId="0" fontId="51" fillId="34" borderId="59" xfId="0" applyFont="1" applyFill="1" applyBorder="1" applyAlignment="1">
      <alignment horizontal="left" vertical="center"/>
    </xf>
    <xf numFmtId="1" fontId="54" fillId="32" borderId="85" xfId="0" applyNumberFormat="1" applyFont="1" applyFill="1" applyBorder="1" applyAlignment="1">
      <alignment horizontal="center"/>
    </xf>
    <xf numFmtId="1" fontId="54" fillId="32" borderId="86" xfId="0" applyNumberFormat="1" applyFont="1" applyFill="1" applyBorder="1" applyAlignment="1">
      <alignment horizontal="center"/>
    </xf>
    <xf numFmtId="1" fontId="54" fillId="32" borderId="147" xfId="0" applyNumberFormat="1" applyFont="1" applyFill="1" applyBorder="1" applyAlignment="1">
      <alignment horizontal="center"/>
    </xf>
    <xf numFmtId="1" fontId="54" fillId="32" borderId="97" xfId="0" applyNumberFormat="1" applyFont="1" applyFill="1" applyBorder="1" applyAlignment="1">
      <alignment horizontal="center"/>
    </xf>
    <xf numFmtId="1" fontId="54" fillId="32" borderId="84" xfId="0" applyNumberFormat="1" applyFont="1" applyFill="1" applyBorder="1" applyAlignment="1">
      <alignment horizontal="center"/>
    </xf>
    <xf numFmtId="1" fontId="54" fillId="32" borderId="148" xfId="0" applyNumberFormat="1" applyFont="1" applyFill="1" applyBorder="1" applyAlignment="1">
      <alignment horizontal="center"/>
    </xf>
    <xf numFmtId="1" fontId="54" fillId="32" borderId="150" xfId="0" applyNumberFormat="1" applyFont="1" applyFill="1" applyBorder="1" applyAlignment="1">
      <alignment horizontal="center"/>
    </xf>
    <xf numFmtId="1" fontId="54" fillId="32" borderId="152" xfId="0" applyNumberFormat="1" applyFont="1" applyFill="1" applyBorder="1" applyAlignment="1">
      <alignment horizontal="center"/>
    </xf>
    <xf numFmtId="1" fontId="54" fillId="32" borderId="151" xfId="0" applyNumberFormat="1" applyFont="1" applyFill="1" applyBorder="1" applyAlignment="1">
      <alignment horizontal="center"/>
    </xf>
    <xf numFmtId="0" fontId="45" fillId="39" borderId="8" xfId="0" applyFont="1" applyFill="1" applyBorder="1" applyAlignment="1">
      <alignment horizontal="center" vertical="center"/>
    </xf>
    <xf numFmtId="0" fontId="53" fillId="39" borderId="11" xfId="0" applyFont="1" applyFill="1" applyBorder="1" applyAlignment="1">
      <alignment horizontal="left" vertical="center"/>
    </xf>
    <xf numFmtId="0" fontId="66" fillId="39" borderId="12" xfId="0" applyFont="1" applyFill="1" applyBorder="1" applyAlignment="1">
      <alignment horizontal="center" vertical="center"/>
    </xf>
    <xf numFmtId="173" fontId="54" fillId="33" borderId="24" xfId="0" applyNumberFormat="1" applyFont="1" applyFill="1" applyBorder="1" applyAlignment="1">
      <alignment horizontal="center" vertical="center"/>
    </xf>
    <xf numFmtId="173" fontId="54" fillId="33" borderId="34" xfId="0" applyNumberFormat="1" applyFont="1" applyFill="1" applyBorder="1" applyAlignment="1">
      <alignment horizontal="center" vertical="center"/>
    </xf>
    <xf numFmtId="173" fontId="54" fillId="33" borderId="149" xfId="0" applyNumberFormat="1" applyFont="1" applyFill="1" applyBorder="1" applyAlignment="1">
      <alignment horizontal="center" vertical="center"/>
    </xf>
    <xf numFmtId="0" fontId="84" fillId="4" borderId="25" xfId="0" applyFont="1" applyFill="1" applyBorder="1" applyAlignment="1">
      <alignment horizontal="center"/>
    </xf>
    <xf numFmtId="0" fontId="54" fillId="49" borderId="4" xfId="0" applyFont="1" applyFill="1" applyBorder="1" applyAlignment="1">
      <alignment horizontal="left"/>
    </xf>
    <xf numFmtId="0" fontId="85" fillId="49" borderId="5" xfId="0" applyFont="1" applyFill="1" applyBorder="1" applyAlignment="1">
      <alignment horizontal="left"/>
    </xf>
    <xf numFmtId="0" fontId="54" fillId="49" borderId="6" xfId="0" applyFont="1" applyFill="1" applyBorder="1" applyAlignment="1">
      <alignment horizontal="center"/>
    </xf>
    <xf numFmtId="170" fontId="54" fillId="34" borderId="24" xfId="0" applyNumberFormat="1" applyFont="1" applyFill="1" applyBorder="1" applyAlignment="1">
      <alignment horizontal="center"/>
    </xf>
    <xf numFmtId="0" fontId="54" fillId="49" borderId="1" xfId="0" applyFont="1" applyFill="1" applyBorder="1" applyAlignment="1">
      <alignment horizontal="left"/>
    </xf>
    <xf numFmtId="0" fontId="85" fillId="49" borderId="0" xfId="0" applyFont="1" applyFill="1"/>
    <xf numFmtId="0" fontId="54" fillId="49" borderId="7" xfId="0" applyFont="1" applyFill="1" applyBorder="1" applyAlignment="1">
      <alignment horizontal="center"/>
    </xf>
    <xf numFmtId="170" fontId="54" fillId="34" borderId="34" xfId="0" applyNumberFormat="1" applyFont="1" applyFill="1" applyBorder="1" applyAlignment="1">
      <alignment horizontal="center"/>
    </xf>
    <xf numFmtId="0" fontId="54" fillId="49" borderId="129" xfId="0" applyFont="1" applyFill="1" applyBorder="1" applyAlignment="1">
      <alignment horizontal="left"/>
    </xf>
    <xf numFmtId="181" fontId="82" fillId="49" borderId="127" xfId="0" applyNumberFormat="1" applyFont="1" applyFill="1" applyBorder="1" applyAlignment="1">
      <alignment horizontal="center" vertical="center"/>
    </xf>
    <xf numFmtId="0" fontId="54" fillId="49" borderId="128" xfId="0" applyFont="1" applyFill="1" applyBorder="1" applyAlignment="1">
      <alignment horizontal="center"/>
    </xf>
    <xf numFmtId="170" fontId="54" fillId="34" borderId="33" xfId="0" applyNumberFormat="1" applyFont="1" applyFill="1" applyBorder="1" applyAlignment="1">
      <alignment horizontal="center"/>
    </xf>
    <xf numFmtId="0" fontId="54" fillId="49" borderId="14" xfId="0" applyFont="1" applyFill="1" applyBorder="1" applyAlignment="1">
      <alignment horizontal="center"/>
    </xf>
    <xf numFmtId="10" fontId="54" fillId="34" borderId="34" xfId="0" applyNumberFormat="1" applyFont="1" applyFill="1" applyBorder="1" applyAlignment="1">
      <alignment horizontal="center"/>
    </xf>
    <xf numFmtId="0" fontId="54" fillId="49" borderId="15" xfId="0" applyFont="1" applyFill="1" applyBorder="1" applyAlignment="1">
      <alignment horizontal="center"/>
    </xf>
    <xf numFmtId="0" fontId="54" fillId="49" borderId="131" xfId="0" applyFont="1" applyFill="1" applyBorder="1" applyAlignment="1">
      <alignment horizontal="center"/>
    </xf>
    <xf numFmtId="10" fontId="54" fillId="34" borderId="33" xfId="0" applyNumberFormat="1" applyFont="1" applyFill="1" applyBorder="1" applyAlignment="1">
      <alignment horizontal="center"/>
    </xf>
    <xf numFmtId="0" fontId="84" fillId="39" borderId="25" xfId="0" applyFont="1" applyFill="1" applyBorder="1" applyAlignment="1">
      <alignment horizontal="center"/>
    </xf>
    <xf numFmtId="170" fontId="54" fillId="5" borderId="24" xfId="0" applyNumberFormat="1" applyFont="1" applyFill="1" applyBorder="1" applyAlignment="1" applyProtection="1">
      <alignment horizontal="center"/>
      <protection locked="0"/>
    </xf>
    <xf numFmtId="170" fontId="54" fillId="5" borderId="34" xfId="0" applyNumberFormat="1" applyFont="1" applyFill="1" applyBorder="1" applyAlignment="1" applyProtection="1">
      <alignment horizontal="center"/>
      <protection locked="0"/>
    </xf>
    <xf numFmtId="170" fontId="54" fillId="5" borderId="35" xfId="0" applyNumberFormat="1" applyFont="1" applyFill="1" applyBorder="1" applyAlignment="1" applyProtection="1">
      <alignment horizontal="center"/>
      <protection locked="0"/>
    </xf>
    <xf numFmtId="170" fontId="54" fillId="5" borderId="140" xfId="0" applyNumberFormat="1" applyFont="1" applyFill="1" applyBorder="1" applyAlignment="1" applyProtection="1">
      <alignment horizontal="center"/>
      <protection locked="0"/>
    </xf>
    <xf numFmtId="170" fontId="54" fillId="5" borderId="33" xfId="0" applyNumberFormat="1" applyFont="1" applyFill="1" applyBorder="1" applyAlignment="1" applyProtection="1">
      <alignment horizontal="center"/>
      <protection locked="0"/>
    </xf>
    <xf numFmtId="0" fontId="54" fillId="35" borderId="4" xfId="0" applyFont="1" applyFill="1" applyBorder="1" applyAlignment="1">
      <alignment horizontal="left"/>
    </xf>
    <xf numFmtId="0" fontId="54" fillId="35" borderId="6" xfId="0" applyFont="1" applyFill="1" applyBorder="1" applyAlignment="1">
      <alignment horizontal="left"/>
    </xf>
    <xf numFmtId="0" fontId="54" fillId="35" borderId="1" xfId="0" applyFont="1" applyFill="1" applyBorder="1" applyAlignment="1">
      <alignment horizontal="left"/>
    </xf>
    <xf numFmtId="0" fontId="54" fillId="35" borderId="7" xfId="0" applyFont="1" applyFill="1" applyBorder="1" applyAlignment="1">
      <alignment horizontal="left"/>
    </xf>
    <xf numFmtId="0" fontId="54" fillId="35" borderId="144" xfId="0" applyFont="1" applyFill="1" applyBorder="1" applyAlignment="1">
      <alignment horizontal="left"/>
    </xf>
    <xf numFmtId="0" fontId="54" fillId="35" borderId="153" xfId="0" applyFont="1" applyFill="1" applyBorder="1" applyAlignment="1">
      <alignment vertical="top"/>
    </xf>
    <xf numFmtId="0" fontId="54" fillId="35" borderId="154" xfId="0" applyFont="1" applyFill="1" applyBorder="1" applyAlignment="1">
      <alignment horizontal="left"/>
    </xf>
    <xf numFmtId="0" fontId="54" fillId="35" borderId="1" xfId="0" applyFont="1" applyFill="1" applyBorder="1" applyAlignment="1">
      <alignment vertical="top"/>
    </xf>
    <xf numFmtId="0" fontId="54" fillId="35" borderId="153" xfId="0" applyFont="1" applyFill="1" applyBorder="1" applyAlignment="1">
      <alignment horizontal="left"/>
    </xf>
    <xf numFmtId="0" fontId="54" fillId="35" borderId="129" xfId="0" applyFont="1" applyFill="1" applyBorder="1" applyAlignment="1">
      <alignment horizontal="left"/>
    </xf>
    <xf numFmtId="0" fontId="54" fillId="35" borderId="128" xfId="0" applyFont="1" applyFill="1" applyBorder="1" applyAlignment="1">
      <alignment horizontal="left"/>
    </xf>
    <xf numFmtId="0" fontId="45" fillId="0" borderId="1" xfId="332" applyFont="1" applyBorder="1" applyAlignment="1" applyProtection="1">
      <alignment vertical="center"/>
      <protection locked="0"/>
    </xf>
    <xf numFmtId="0" fontId="45" fillId="0" borderId="0" xfId="332" applyFont="1" applyAlignment="1" applyProtection="1">
      <alignment vertical="center"/>
      <protection locked="0"/>
    </xf>
    <xf numFmtId="0" fontId="49" fillId="0" borderId="1" xfId="332" applyFont="1" applyBorder="1" applyProtection="1">
      <protection locked="0"/>
    </xf>
    <xf numFmtId="0" fontId="47" fillId="0" borderId="7" xfId="8" applyFont="1" applyBorder="1" applyProtection="1">
      <protection locked="0"/>
    </xf>
    <xf numFmtId="0" fontId="47" fillId="0" borderId="2" xfId="8" applyFont="1" applyBorder="1" applyProtection="1">
      <protection locked="0"/>
    </xf>
    <xf numFmtId="0" fontId="46" fillId="0" borderId="0" xfId="8" applyFont="1" applyProtection="1">
      <protection locked="0"/>
    </xf>
    <xf numFmtId="3" fontId="47" fillId="0" borderId="0" xfId="8" applyNumberFormat="1" applyFont="1" applyProtection="1">
      <protection locked="0"/>
    </xf>
    <xf numFmtId="3" fontId="48" fillId="0" borderId="0" xfId="8" applyNumberFormat="1" applyFont="1" applyProtection="1">
      <protection locked="0"/>
    </xf>
    <xf numFmtId="0" fontId="46" fillId="0" borderId="2" xfId="8" applyFont="1" applyBorder="1" applyProtection="1">
      <protection locked="0"/>
    </xf>
    <xf numFmtId="4" fontId="47" fillId="0" borderId="0" xfId="8" applyNumberFormat="1" applyFont="1" applyProtection="1">
      <protection locked="0"/>
    </xf>
    <xf numFmtId="3" fontId="46" fillId="0" borderId="0" xfId="8" applyNumberFormat="1" applyFont="1" applyAlignment="1" applyProtection="1">
      <alignment horizontal="right"/>
      <protection locked="0"/>
    </xf>
    <xf numFmtId="4" fontId="47" fillId="0" borderId="0" xfId="8" applyNumberFormat="1" applyFont="1" applyAlignment="1" applyProtection="1">
      <alignment horizontal="right"/>
      <protection locked="0"/>
    </xf>
    <xf numFmtId="0" fontId="46" fillId="0" borderId="0" xfId="332" applyFont="1" applyAlignment="1" applyProtection="1">
      <alignment horizontal="left" vertical="center"/>
      <protection locked="0"/>
    </xf>
    <xf numFmtId="0" fontId="47" fillId="0" borderId="0" xfId="8" quotePrefix="1" applyFont="1" applyProtection="1">
      <protection locked="0"/>
    </xf>
    <xf numFmtId="0" fontId="47" fillId="0" borderId="5" xfId="8" applyFont="1" applyBorder="1" applyProtection="1">
      <protection locked="0"/>
    </xf>
    <xf numFmtId="0" fontId="47" fillId="0" borderId="6" xfId="8" applyFont="1" applyBorder="1" applyProtection="1">
      <protection locked="0"/>
    </xf>
    <xf numFmtId="0" fontId="47" fillId="0" borderId="127" xfId="8" applyFont="1" applyBorder="1" applyProtection="1">
      <protection locked="0"/>
    </xf>
    <xf numFmtId="0" fontId="47" fillId="0" borderId="128" xfId="8" applyFont="1" applyBorder="1" applyProtection="1">
      <protection locked="0"/>
    </xf>
    <xf numFmtId="0" fontId="81" fillId="0" borderId="5" xfId="332" applyFont="1" applyBorder="1"/>
    <xf numFmtId="0" fontId="47" fillId="0" borderId="5" xfId="332" applyFont="1" applyBorder="1"/>
    <xf numFmtId="0" fontId="47" fillId="0" borderId="5" xfId="332" applyFont="1" applyBorder="1" applyAlignment="1">
      <alignment horizontal="right"/>
    </xf>
    <xf numFmtId="0" fontId="66" fillId="0" borderId="4" xfId="332" applyFont="1" applyBorder="1"/>
    <xf numFmtId="0" fontId="53" fillId="0" borderId="0" xfId="0" applyFont="1" applyAlignment="1" applyProtection="1">
      <alignment horizontal="left"/>
      <protection locked="0"/>
    </xf>
    <xf numFmtId="182" fontId="55" fillId="38" borderId="0" xfId="0" applyNumberFormat="1" applyFont="1" applyFill="1" applyAlignment="1">
      <alignment horizontal="center"/>
    </xf>
    <xf numFmtId="182" fontId="55" fillId="3" borderId="91" xfId="0" applyNumberFormat="1" applyFont="1" applyFill="1" applyBorder="1" applyAlignment="1" applyProtection="1">
      <alignment horizontal="center"/>
      <protection locked="0"/>
    </xf>
    <xf numFmtId="183" fontId="54" fillId="0" borderId="100" xfId="35" applyNumberFormat="1" applyFont="1" applyFill="1" applyBorder="1" applyAlignment="1" applyProtection="1">
      <alignment horizontal="center"/>
    </xf>
    <xf numFmtId="0" fontId="48" fillId="39" borderId="28" xfId="0" applyFont="1" applyFill="1" applyBorder="1" applyAlignment="1">
      <alignment vertical="center"/>
    </xf>
    <xf numFmtId="0" fontId="88" fillId="50" borderId="0" xfId="332" applyFont="1" applyFill="1"/>
    <xf numFmtId="0" fontId="88" fillId="50" borderId="0" xfId="332" applyFont="1" applyFill="1" applyAlignment="1">
      <alignment horizontal="right"/>
    </xf>
    <xf numFmtId="0" fontId="88" fillId="50" borderId="0" xfId="332" applyFont="1" applyFill="1" applyAlignment="1">
      <alignment horizontal="center"/>
    </xf>
    <xf numFmtId="0" fontId="88" fillId="50" borderId="0" xfId="332" applyFont="1" applyFill="1" applyAlignment="1">
      <alignment horizontal="left"/>
    </xf>
    <xf numFmtId="0" fontId="89" fillId="50" borderId="0" xfId="332" applyFont="1" applyFill="1" applyAlignment="1">
      <alignment horizontal="left"/>
    </xf>
    <xf numFmtId="0" fontId="89" fillId="50" borderId="0" xfId="332" applyFont="1" applyFill="1"/>
    <xf numFmtId="0" fontId="88" fillId="0" borderId="0" xfId="332" applyFont="1"/>
    <xf numFmtId="0" fontId="81" fillId="0" borderId="129" xfId="8" applyFont="1" applyBorder="1"/>
    <xf numFmtId="1" fontId="51" fillId="32" borderId="96" xfId="0" applyNumberFormat="1" applyFont="1" applyFill="1" applyBorder="1" applyAlignment="1">
      <alignment horizontal="center"/>
    </xf>
    <xf numFmtId="1" fontId="51" fillId="32" borderId="98" xfId="0" applyNumberFormat="1" applyFont="1" applyFill="1" applyBorder="1" applyAlignment="1">
      <alignment horizontal="center"/>
    </xf>
    <xf numFmtId="1" fontId="51" fillId="32" borderId="160" xfId="0" applyNumberFormat="1" applyFont="1" applyFill="1" applyBorder="1" applyAlignment="1">
      <alignment horizontal="center"/>
    </xf>
    <xf numFmtId="3" fontId="47" fillId="3" borderId="24" xfId="11" applyNumberFormat="1" applyFont="1" applyFill="1" applyBorder="1" applyProtection="1">
      <protection locked="0"/>
    </xf>
    <xf numFmtId="3" fontId="47" fillId="3" borderId="34" xfId="11" applyNumberFormat="1" applyFont="1" applyFill="1" applyBorder="1" applyProtection="1">
      <protection locked="0"/>
    </xf>
    <xf numFmtId="3" fontId="47" fillId="3" borderId="161" xfId="11" applyNumberFormat="1" applyFont="1" applyFill="1" applyBorder="1" applyProtection="1">
      <protection locked="0"/>
    </xf>
    <xf numFmtId="3" fontId="47" fillId="3" borderId="33" xfId="11" applyNumberFormat="1" applyFont="1" applyFill="1" applyBorder="1" applyProtection="1">
      <protection locked="0"/>
    </xf>
    <xf numFmtId="3" fontId="47" fillId="3" borderId="149" xfId="11" applyNumberFormat="1" applyFont="1" applyFill="1" applyBorder="1" applyProtection="1">
      <protection locked="0"/>
    </xf>
    <xf numFmtId="173" fontId="54" fillId="33" borderId="140" xfId="0" applyNumberFormat="1" applyFont="1" applyFill="1" applyBorder="1" applyAlignment="1">
      <alignment horizontal="center" vertical="center"/>
    </xf>
    <xf numFmtId="0" fontId="51" fillId="34" borderId="127" xfId="0" applyFont="1" applyFill="1" applyBorder="1" applyAlignment="1">
      <alignment horizontal="left" vertical="center"/>
    </xf>
    <xf numFmtId="1" fontId="51" fillId="32" borderId="162" xfId="0" applyNumberFormat="1" applyFont="1" applyFill="1" applyBorder="1" applyAlignment="1">
      <alignment horizontal="center"/>
    </xf>
    <xf numFmtId="1" fontId="54" fillId="32" borderId="163" xfId="0" applyNumberFormat="1" applyFont="1" applyFill="1" applyBorder="1" applyAlignment="1">
      <alignment horizontal="center"/>
    </xf>
    <xf numFmtId="1" fontId="54" fillId="32" borderId="164" xfId="0" applyNumberFormat="1" applyFont="1" applyFill="1" applyBorder="1" applyAlignment="1">
      <alignment horizontal="center"/>
    </xf>
    <xf numFmtId="173" fontId="54" fillId="33" borderId="33" xfId="0" applyNumberFormat="1" applyFont="1" applyFill="1" applyBorder="1" applyAlignment="1">
      <alignment horizontal="center" vertical="center"/>
    </xf>
    <xf numFmtId="0" fontId="51" fillId="34" borderId="5" xfId="0" applyFont="1" applyFill="1" applyBorder="1" applyAlignment="1">
      <alignment horizontal="left" vertical="center"/>
    </xf>
    <xf numFmtId="1" fontId="51" fillId="32" borderId="171" xfId="0" applyNumberFormat="1" applyFont="1" applyFill="1" applyBorder="1" applyAlignment="1">
      <alignment horizontal="center"/>
    </xf>
    <xf numFmtId="0" fontId="49" fillId="34" borderId="4" xfId="0" applyFont="1" applyFill="1" applyBorder="1" applyAlignment="1">
      <alignment vertical="center" textRotation="90"/>
    </xf>
    <xf numFmtId="0" fontId="49" fillId="34" borderId="1" xfId="0" applyFont="1" applyFill="1" applyBorder="1" applyAlignment="1">
      <alignment vertical="center" textRotation="90"/>
    </xf>
    <xf numFmtId="0" fontId="49" fillId="34" borderId="1" xfId="0" applyFont="1" applyFill="1" applyBorder="1" applyAlignment="1">
      <alignment vertical="center" textRotation="90" wrapText="1"/>
    </xf>
    <xf numFmtId="0" fontId="49" fillId="34" borderId="4" xfId="0" applyFont="1" applyFill="1" applyBorder="1" applyAlignment="1">
      <alignment vertical="center" textRotation="90" wrapText="1"/>
    </xf>
    <xf numFmtId="0" fontId="49" fillId="34" borderId="129" xfId="0" applyFont="1" applyFill="1" applyBorder="1" applyAlignment="1">
      <alignment vertical="center" textRotation="90" wrapText="1"/>
    </xf>
    <xf numFmtId="0" fontId="66" fillId="0" borderId="0" xfId="0" applyFont="1" applyAlignment="1">
      <alignment vertical="center" wrapText="1"/>
    </xf>
    <xf numFmtId="0" fontId="53" fillId="2" borderId="59" xfId="0" applyFont="1" applyFill="1" applyBorder="1" applyAlignment="1">
      <alignment horizontal="left"/>
    </xf>
    <xf numFmtId="0" fontId="46" fillId="0" borderId="1" xfId="332" applyFont="1" applyBorder="1" applyAlignment="1">
      <alignment vertical="center"/>
    </xf>
    <xf numFmtId="0" fontId="47" fillId="0" borderId="1" xfId="8" applyFont="1" applyBorder="1" applyProtection="1">
      <protection locked="0"/>
    </xf>
    <xf numFmtId="49" fontId="88" fillId="0" borderId="0" xfId="332" applyNumberFormat="1" applyFont="1"/>
    <xf numFmtId="0" fontId="45" fillId="0" borderId="0" xfId="0" applyFont="1"/>
    <xf numFmtId="0" fontId="45" fillId="39" borderId="25" xfId="0" applyFont="1" applyFill="1" applyBorder="1"/>
    <xf numFmtId="173" fontId="54" fillId="33" borderId="0" xfId="0" applyNumberFormat="1" applyFont="1" applyFill="1" applyAlignment="1">
      <alignment horizontal="center" vertical="center"/>
    </xf>
    <xf numFmtId="0" fontId="3" fillId="0" borderId="0" xfId="0" quotePrefix="1" applyFont="1"/>
    <xf numFmtId="0" fontId="66" fillId="0" borderId="0" xfId="0" applyFont="1" applyAlignment="1" applyProtection="1">
      <alignment horizontal="justify" vertical="center"/>
      <protection locked="0"/>
    </xf>
    <xf numFmtId="0" fontId="38" fillId="0" borderId="0" xfId="0" applyFont="1" applyProtection="1">
      <protection locked="0"/>
    </xf>
    <xf numFmtId="0" fontId="39" fillId="0" borderId="0" xfId="0" applyFont="1" applyProtection="1">
      <protection locked="0"/>
    </xf>
    <xf numFmtId="0" fontId="3" fillId="0" borderId="0" xfId="0" applyFont="1" applyProtection="1">
      <protection locked="0"/>
    </xf>
    <xf numFmtId="0" fontId="39" fillId="0" borderId="0" xfId="0" applyFont="1" applyAlignment="1" applyProtection="1">
      <alignment horizontal="left" vertical="center" indent="1"/>
      <protection locked="0"/>
    </xf>
    <xf numFmtId="0" fontId="3" fillId="0" borderId="0" xfId="0" applyFont="1" applyAlignment="1" applyProtection="1">
      <alignment horizontal="left" vertical="center" indent="1"/>
      <protection locked="0"/>
    </xf>
    <xf numFmtId="0" fontId="0" fillId="0" borderId="0" xfId="0" applyProtection="1">
      <protection locked="0"/>
    </xf>
    <xf numFmtId="0" fontId="40" fillId="0" borderId="0" xfId="0" applyFont="1" applyProtection="1">
      <protection locked="0"/>
    </xf>
    <xf numFmtId="173" fontId="49" fillId="0" borderId="0" xfId="12" applyNumberFormat="1" applyFont="1" applyProtection="1">
      <protection locked="0"/>
    </xf>
    <xf numFmtId="0" fontId="0" fillId="0" borderId="0" xfId="0" quotePrefix="1"/>
    <xf numFmtId="3" fontId="47" fillId="3" borderId="0" xfId="11" applyNumberFormat="1" applyFont="1" applyFill="1" applyProtection="1">
      <protection locked="0"/>
    </xf>
    <xf numFmtId="3" fontId="66" fillId="32" borderId="61" xfId="0" applyNumberFormat="1" applyFont="1" applyFill="1" applyBorder="1"/>
    <xf numFmtId="3" fontId="66" fillId="32" borderId="101" xfId="0" applyNumberFormat="1" applyFont="1" applyFill="1" applyBorder="1"/>
    <xf numFmtId="3" fontId="66" fillId="32" borderId="102" xfId="0" applyNumberFormat="1" applyFont="1" applyFill="1" applyBorder="1"/>
    <xf numFmtId="3" fontId="66" fillId="32" borderId="103" xfId="0" applyNumberFormat="1" applyFont="1" applyFill="1" applyBorder="1"/>
    <xf numFmtId="0" fontId="66" fillId="34" borderId="74" xfId="0" applyFont="1" applyFill="1" applyBorder="1" applyAlignment="1">
      <alignment horizontal="left"/>
    </xf>
    <xf numFmtId="0" fontId="66" fillId="34" borderId="68" xfId="0" applyFont="1" applyFill="1" applyBorder="1" applyAlignment="1">
      <alignment horizontal="left"/>
    </xf>
    <xf numFmtId="0" fontId="66" fillId="34" borderId="66" xfId="0" applyFont="1" applyFill="1" applyBorder="1" applyAlignment="1">
      <alignment horizontal="left"/>
    </xf>
    <xf numFmtId="0" fontId="66" fillId="34" borderId="83" xfId="0" applyFont="1" applyFill="1" applyBorder="1" applyAlignment="1">
      <alignment horizontal="left"/>
    </xf>
    <xf numFmtId="0" fontId="66" fillId="0" borderId="0" xfId="0" applyFont="1" applyAlignment="1">
      <alignment horizontal="left" vertical="center"/>
    </xf>
    <xf numFmtId="0" fontId="49" fillId="0" borderId="0" xfId="0" applyFont="1" applyAlignment="1">
      <alignment horizontal="center"/>
    </xf>
    <xf numFmtId="2" fontId="49" fillId="0" borderId="0" xfId="0" applyNumberFormat="1" applyFont="1"/>
    <xf numFmtId="0" fontId="66" fillId="0" borderId="0" xfId="0" applyFont="1" applyAlignment="1">
      <alignment horizontal="justify" vertical="center"/>
    </xf>
    <xf numFmtId="0" fontId="49" fillId="0" borderId="1" xfId="0" applyFont="1" applyBorder="1" applyProtection="1">
      <protection locked="0"/>
    </xf>
    <xf numFmtId="0" fontId="68" fillId="0" borderId="1" xfId="0" applyFont="1" applyBorder="1" applyProtection="1">
      <protection locked="0"/>
    </xf>
    <xf numFmtId="3" fontId="46" fillId="6" borderId="155" xfId="12" applyNumberFormat="1" applyFont="1" applyFill="1" applyBorder="1"/>
    <xf numFmtId="3" fontId="46" fillId="34" borderId="155" xfId="12" applyNumberFormat="1" applyFont="1" applyFill="1" applyBorder="1"/>
    <xf numFmtId="3" fontId="47" fillId="6" borderId="155" xfId="12" applyNumberFormat="1" applyFont="1" applyFill="1" applyBorder="1"/>
    <xf numFmtId="3" fontId="46" fillId="36" borderId="155" xfId="12" applyNumberFormat="1" applyFont="1" applyFill="1" applyBorder="1"/>
    <xf numFmtId="3" fontId="46" fillId="34" borderId="136" xfId="12" applyNumberFormat="1" applyFont="1" applyFill="1" applyBorder="1"/>
    <xf numFmtId="3" fontId="47" fillId="36" borderId="155" xfId="12" applyNumberFormat="1" applyFont="1" applyFill="1" applyBorder="1"/>
    <xf numFmtId="173" fontId="46" fillId="6" borderId="156" xfId="12" applyNumberFormat="1" applyFont="1" applyFill="1" applyBorder="1"/>
    <xf numFmtId="173" fontId="46" fillId="6" borderId="155" xfId="12" applyNumberFormat="1" applyFont="1" applyFill="1" applyBorder="1"/>
    <xf numFmtId="173" fontId="46" fillId="36" borderId="156" xfId="12" applyNumberFormat="1" applyFont="1" applyFill="1" applyBorder="1"/>
    <xf numFmtId="173" fontId="46" fillId="36" borderId="155" xfId="12" applyNumberFormat="1" applyFont="1" applyFill="1" applyBorder="1"/>
    <xf numFmtId="3" fontId="47" fillId="5" borderId="8" xfId="12" applyNumberFormat="1" applyFont="1" applyFill="1" applyBorder="1" applyProtection="1">
      <protection locked="0"/>
    </xf>
    <xf numFmtId="3" fontId="47" fillId="5" borderId="11" xfId="12" applyNumberFormat="1" applyFont="1" applyFill="1" applyBorder="1" applyProtection="1">
      <protection locked="0"/>
    </xf>
    <xf numFmtId="3" fontId="47" fillId="5" borderId="12" xfId="12" applyNumberFormat="1" applyFont="1" applyFill="1" applyBorder="1" applyProtection="1">
      <protection locked="0"/>
    </xf>
    <xf numFmtId="0" fontId="59" fillId="0" borderId="0" xfId="0" applyFont="1" applyAlignment="1" applyProtection="1">
      <alignment horizontal="justify" vertical="center"/>
      <protection locked="0"/>
    </xf>
    <xf numFmtId="3" fontId="49" fillId="0" borderId="1" xfId="39" applyNumberFormat="1" applyFont="1" applyBorder="1" applyProtection="1">
      <protection locked="0"/>
    </xf>
    <xf numFmtId="0" fontId="49" fillId="0" borderId="7" xfId="39" applyFont="1" applyBorder="1" applyProtection="1">
      <protection locked="0"/>
    </xf>
    <xf numFmtId="3" fontId="50" fillId="0" borderId="1" xfId="39" applyNumberFormat="1" applyFont="1" applyBorder="1" applyProtection="1">
      <protection locked="0"/>
    </xf>
    <xf numFmtId="0" fontId="49" fillId="0" borderId="1" xfId="39" applyFont="1" applyBorder="1" applyProtection="1">
      <protection locked="0"/>
    </xf>
    <xf numFmtId="0" fontId="46" fillId="0" borderId="1" xfId="39" applyFont="1" applyBorder="1" applyAlignment="1" applyProtection="1">
      <alignment vertical="center"/>
      <protection locked="0"/>
    </xf>
    <xf numFmtId="3" fontId="47" fillId="3" borderId="0" xfId="332" applyNumberFormat="1" applyFont="1" applyFill="1" applyAlignment="1" applyProtection="1">
      <alignment vertical="center"/>
      <protection locked="0"/>
    </xf>
    <xf numFmtId="3" fontId="49" fillId="0" borderId="1" xfId="332" applyNumberFormat="1" applyFont="1" applyBorder="1" applyProtection="1">
      <protection locked="0"/>
    </xf>
    <xf numFmtId="3" fontId="49" fillId="0" borderId="1" xfId="332" applyNumberFormat="1" applyFont="1" applyBorder="1" applyAlignment="1" applyProtection="1">
      <alignment vertical="center"/>
      <protection locked="0"/>
    </xf>
    <xf numFmtId="3" fontId="83" fillId="0" borderId="1" xfId="332" applyNumberFormat="1" applyFont="1" applyBorder="1" applyProtection="1">
      <protection locked="0"/>
    </xf>
    <xf numFmtId="3" fontId="48" fillId="6" borderId="13" xfId="332" applyNumberFormat="1" applyFont="1" applyFill="1" applyBorder="1"/>
    <xf numFmtId="3" fontId="48" fillId="6" borderId="156" xfId="332" applyNumberFormat="1" applyFont="1" applyFill="1" applyBorder="1"/>
    <xf numFmtId="3" fontId="48" fillId="6" borderId="155" xfId="332" applyNumberFormat="1" applyFont="1" applyFill="1" applyBorder="1"/>
    <xf numFmtId="3" fontId="48" fillId="36" borderId="13" xfId="332" applyNumberFormat="1" applyFont="1" applyFill="1" applyBorder="1"/>
    <xf numFmtId="3" fontId="48" fillId="36" borderId="156" xfId="332" applyNumberFormat="1" applyFont="1" applyFill="1" applyBorder="1"/>
    <xf numFmtId="3" fontId="48" fillId="36" borderId="155" xfId="332" applyNumberFormat="1" applyFont="1" applyFill="1" applyBorder="1"/>
    <xf numFmtId="0" fontId="61" fillId="0" borderId="5" xfId="332" applyFont="1" applyBorder="1" applyProtection="1">
      <protection locked="0"/>
    </xf>
    <xf numFmtId="0" fontId="68" fillId="0" borderId="5" xfId="8" applyFont="1" applyBorder="1" applyProtection="1">
      <protection locked="0"/>
    </xf>
    <xf numFmtId="3" fontId="47" fillId="34" borderId="56" xfId="0" applyNumberFormat="1" applyFont="1" applyFill="1" applyBorder="1"/>
    <xf numFmtId="3" fontId="17" fillId="0" borderId="75" xfId="0" applyNumberFormat="1" applyFont="1" applyBorder="1" applyProtection="1">
      <protection locked="0"/>
    </xf>
    <xf numFmtId="16" fontId="49" fillId="5" borderId="0" xfId="0" quotePrefix="1" applyNumberFormat="1" applyFont="1" applyFill="1" applyAlignment="1" applyProtection="1">
      <alignment horizontal="center"/>
      <protection locked="0"/>
    </xf>
    <xf numFmtId="16" fontId="49" fillId="5" borderId="0" xfId="0" applyNumberFormat="1" applyFont="1" applyFill="1" applyAlignment="1" applyProtection="1">
      <alignment horizontal="center"/>
      <protection locked="0"/>
    </xf>
    <xf numFmtId="0" fontId="53" fillId="7" borderId="58" xfId="0" applyFont="1" applyFill="1" applyBorder="1" applyAlignment="1">
      <alignment horizontal="center"/>
    </xf>
    <xf numFmtId="3" fontId="5" fillId="0" borderId="1" xfId="0" applyNumberFormat="1" applyFont="1" applyBorder="1" applyProtection="1">
      <protection locked="0"/>
    </xf>
    <xf numFmtId="3" fontId="5" fillId="0" borderId="1" xfId="9" applyNumberFormat="1" applyFont="1" applyBorder="1" applyProtection="1">
      <protection locked="0"/>
    </xf>
    <xf numFmtId="3" fontId="50" fillId="0" borderId="5" xfId="0" applyNumberFormat="1" applyFont="1" applyBorder="1" applyProtection="1">
      <protection locked="0"/>
    </xf>
    <xf numFmtId="3" fontId="49" fillId="0" borderId="5" xfId="0" applyNumberFormat="1" applyFont="1" applyBorder="1" applyProtection="1">
      <protection locked="0"/>
    </xf>
    <xf numFmtId="0" fontId="49" fillId="0" borderId="5" xfId="0" applyFont="1" applyBorder="1" applyProtection="1">
      <protection locked="0"/>
    </xf>
    <xf numFmtId="3" fontId="47" fillId="34" borderId="60" xfId="0" applyNumberFormat="1" applyFont="1" applyFill="1" applyBorder="1"/>
    <xf numFmtId="16" fontId="49" fillId="0" borderId="5" xfId="0" quotePrefix="1" applyNumberFormat="1" applyFont="1" applyBorder="1" applyProtection="1">
      <protection locked="0"/>
    </xf>
    <xf numFmtId="0" fontId="51" fillId="3" borderId="3" xfId="332" applyFont="1" applyFill="1" applyBorder="1" applyAlignment="1" applyProtection="1">
      <alignment horizontal="left"/>
      <protection locked="0"/>
    </xf>
    <xf numFmtId="0" fontId="52" fillId="0" borderId="5" xfId="332" applyFont="1" applyBorder="1" applyProtection="1">
      <protection locked="0"/>
    </xf>
    <xf numFmtId="0" fontId="49" fillId="0" borderId="5" xfId="332" applyFont="1" applyBorder="1" applyAlignment="1" applyProtection="1">
      <alignment horizontal="right"/>
      <protection locked="0"/>
    </xf>
    <xf numFmtId="0" fontId="48" fillId="0" borderId="1" xfId="0" applyFont="1" applyBorder="1" applyAlignment="1" applyProtection="1">
      <alignment vertical="center"/>
      <protection locked="0"/>
    </xf>
    <xf numFmtId="0" fontId="48" fillId="0" borderId="0" xfId="0" applyFont="1" applyAlignment="1" applyProtection="1">
      <alignment vertical="center"/>
      <protection locked="0"/>
    </xf>
    <xf numFmtId="0" fontId="53" fillId="0" borderId="0" xfId="0" applyFont="1" applyAlignment="1" applyProtection="1">
      <alignment vertical="center" wrapText="1"/>
      <protection locked="0"/>
    </xf>
    <xf numFmtId="0" fontId="48" fillId="0" borderId="0" xfId="0" applyFont="1" applyAlignment="1" applyProtection="1">
      <alignment horizontal="center" vertical="center"/>
      <protection locked="0"/>
    </xf>
    <xf numFmtId="0" fontId="48" fillId="0" borderId="1" xfId="0" applyFont="1" applyBorder="1" applyAlignment="1" applyProtection="1">
      <alignment horizontal="center" vertical="center"/>
      <protection locked="0"/>
    </xf>
    <xf numFmtId="0" fontId="53" fillId="0" borderId="0" xfId="0" applyFont="1" applyAlignment="1" applyProtection="1">
      <alignment horizontal="center" vertical="center" wrapText="1"/>
      <protection locked="0"/>
    </xf>
    <xf numFmtId="168" fontId="54" fillId="0" borderId="100" xfId="35" applyNumberFormat="1" applyFont="1" applyFill="1" applyBorder="1" applyAlignment="1" applyProtection="1">
      <alignment horizontal="center"/>
    </xf>
    <xf numFmtId="16" fontId="3" fillId="0" borderId="0" xfId="0" quotePrefix="1" applyNumberFormat="1" applyFont="1"/>
    <xf numFmtId="0" fontId="88" fillId="50" borderId="0" xfId="332" quotePrefix="1" applyFont="1" applyFill="1"/>
    <xf numFmtId="0" fontId="53" fillId="38" borderId="139" xfId="0" applyFont="1" applyFill="1" applyBorder="1"/>
    <xf numFmtId="0" fontId="54" fillId="38" borderId="139" xfId="0" applyFont="1" applyFill="1" applyBorder="1"/>
    <xf numFmtId="0" fontId="51" fillId="2" borderId="175" xfId="12" applyFont="1" applyFill="1" applyBorder="1" applyAlignment="1">
      <alignment horizontal="left"/>
    </xf>
    <xf numFmtId="0" fontId="48" fillId="2" borderId="158" xfId="0" applyFont="1" applyFill="1" applyBorder="1" applyAlignment="1">
      <alignment horizontal="center" vertical="center"/>
    </xf>
    <xf numFmtId="0" fontId="48" fillId="2" borderId="159" xfId="0" applyFont="1" applyFill="1" applyBorder="1" applyAlignment="1">
      <alignment horizontal="center" vertical="center"/>
    </xf>
    <xf numFmtId="0" fontId="51" fillId="2" borderId="128" xfId="12" applyFont="1" applyFill="1" applyBorder="1" applyAlignment="1">
      <alignment horizontal="left"/>
    </xf>
    <xf numFmtId="0" fontId="69" fillId="34" borderId="129" xfId="12" applyFont="1" applyFill="1" applyBorder="1"/>
    <xf numFmtId="0" fontId="51" fillId="34" borderId="127" xfId="12" applyFont="1" applyFill="1" applyBorder="1"/>
    <xf numFmtId="3" fontId="47" fillId="32" borderId="145" xfId="12" applyNumberFormat="1" applyFont="1" applyFill="1" applyBorder="1" applyAlignment="1">
      <alignment horizontal="center"/>
    </xf>
    <xf numFmtId="3" fontId="47" fillId="32" borderId="131" xfId="12" applyNumberFormat="1" applyFont="1" applyFill="1" applyBorder="1" applyAlignment="1">
      <alignment horizontal="center"/>
    </xf>
    <xf numFmtId="0" fontId="51" fillId="39" borderId="156" xfId="12" applyFont="1" applyFill="1" applyBorder="1" applyAlignment="1">
      <alignment horizontal="left"/>
    </xf>
    <xf numFmtId="0" fontId="69" fillId="34" borderId="153" xfId="12" applyFont="1" applyFill="1" applyBorder="1"/>
    <xf numFmtId="0" fontId="47" fillId="34" borderId="176" xfId="12" applyFont="1" applyFill="1" applyBorder="1"/>
    <xf numFmtId="169" fontId="46" fillId="34" borderId="154" xfId="12" applyNumberFormat="1" applyFont="1" applyFill="1" applyBorder="1" applyAlignment="1">
      <alignment horizontal="center"/>
    </xf>
    <xf numFmtId="3" fontId="49" fillId="32" borderId="153" xfId="9" applyNumberFormat="1" applyFont="1" applyFill="1" applyBorder="1" applyAlignment="1" applyProtection="1">
      <alignment horizontal="center"/>
      <protection hidden="1"/>
    </xf>
    <xf numFmtId="3" fontId="49" fillId="32" borderId="176" xfId="9" applyNumberFormat="1" applyFont="1" applyFill="1" applyBorder="1" applyAlignment="1" applyProtection="1">
      <alignment horizontal="center"/>
      <protection hidden="1"/>
    </xf>
    <xf numFmtId="3" fontId="49" fillId="32" borderId="154" xfId="9" applyNumberFormat="1" applyFont="1" applyFill="1" applyBorder="1" applyAlignment="1" applyProtection="1">
      <alignment horizontal="center"/>
      <protection hidden="1"/>
    </xf>
    <xf numFmtId="0" fontId="47" fillId="34" borderId="127" xfId="12" applyFont="1" applyFill="1" applyBorder="1"/>
    <xf numFmtId="169" fontId="46" fillId="34" borderId="128" xfId="12" applyNumberFormat="1" applyFont="1" applyFill="1" applyBorder="1" applyAlignment="1">
      <alignment horizontal="center"/>
    </xf>
    <xf numFmtId="3" fontId="49" fillId="32" borderId="129" xfId="9" applyNumberFormat="1" applyFont="1" applyFill="1" applyBorder="1" applyAlignment="1" applyProtection="1">
      <alignment horizontal="center"/>
      <protection hidden="1"/>
    </xf>
    <xf numFmtId="3" fontId="49" fillId="32" borderId="127" xfId="9" applyNumberFormat="1" applyFont="1" applyFill="1" applyBorder="1" applyAlignment="1" applyProtection="1">
      <alignment horizontal="center"/>
      <protection hidden="1"/>
    </xf>
    <xf numFmtId="3" fontId="49" fillId="32" borderId="128" xfId="9" applyNumberFormat="1" applyFont="1" applyFill="1" applyBorder="1" applyAlignment="1" applyProtection="1">
      <alignment horizontal="center"/>
      <protection hidden="1"/>
    </xf>
    <xf numFmtId="0" fontId="46" fillId="39" borderId="155" xfId="12" applyFont="1" applyFill="1" applyBorder="1" applyAlignment="1">
      <alignment horizontal="center"/>
    </xf>
    <xf numFmtId="0" fontId="49" fillId="34" borderId="144" xfId="12" applyFont="1" applyFill="1" applyBorder="1"/>
    <xf numFmtId="0" fontId="47" fillId="34" borderId="139" xfId="12" applyFont="1" applyFill="1" applyBorder="1"/>
    <xf numFmtId="0" fontId="46" fillId="6" borderId="156" xfId="12" applyFont="1" applyFill="1" applyBorder="1"/>
    <xf numFmtId="0" fontId="46" fillId="34" borderId="156" xfId="12" applyFont="1" applyFill="1" applyBorder="1"/>
    <xf numFmtId="0" fontId="50" fillId="39" borderId="128" xfId="12" applyFont="1" applyFill="1" applyBorder="1"/>
    <xf numFmtId="0" fontId="51" fillId="7" borderId="156" xfId="12" applyFont="1" applyFill="1" applyBorder="1" applyAlignment="1">
      <alignment horizontal="left"/>
    </xf>
    <xf numFmtId="0" fontId="46" fillId="7" borderId="155" xfId="12" applyFont="1" applyFill="1" applyBorder="1" applyAlignment="1">
      <alignment horizontal="center"/>
    </xf>
    <xf numFmtId="0" fontId="46" fillId="36" borderId="156" xfId="12" applyFont="1" applyFill="1" applyBorder="1"/>
    <xf numFmtId="0" fontId="50" fillId="7" borderId="128" xfId="12" applyFont="1" applyFill="1" applyBorder="1"/>
    <xf numFmtId="0" fontId="51" fillId="39" borderId="156" xfId="332" applyFont="1" applyFill="1" applyBorder="1" applyAlignment="1">
      <alignment horizontal="left"/>
    </xf>
    <xf numFmtId="3" fontId="47" fillId="6" borderId="128" xfId="332" applyNumberFormat="1" applyFont="1" applyFill="1" applyBorder="1"/>
    <xf numFmtId="0" fontId="51" fillId="46" borderId="156" xfId="332" applyFont="1" applyFill="1" applyBorder="1" applyAlignment="1">
      <alignment horizontal="left"/>
    </xf>
    <xf numFmtId="0" fontId="50" fillId="46" borderId="128" xfId="332" applyFont="1" applyFill="1" applyBorder="1"/>
    <xf numFmtId="3" fontId="47" fillId="36" borderId="128" xfId="332" applyNumberFormat="1" applyFont="1" applyFill="1" applyBorder="1"/>
    <xf numFmtId="0" fontId="54" fillId="35" borderId="136" xfId="0" applyFont="1" applyFill="1" applyBorder="1" applyAlignment="1">
      <alignment horizontal="left"/>
    </xf>
    <xf numFmtId="0" fontId="88" fillId="50" borderId="0" xfId="332" applyFont="1" applyFill="1" applyAlignment="1">
      <alignment wrapText="1"/>
    </xf>
    <xf numFmtId="0" fontId="94" fillId="38" borderId="0" xfId="0" applyFont="1" applyFill="1" applyAlignment="1">
      <alignment horizontal="left" vertical="center" wrapText="1"/>
    </xf>
    <xf numFmtId="0" fontId="47" fillId="34" borderId="94" xfId="0" applyFont="1" applyFill="1" applyBorder="1"/>
    <xf numFmtId="3" fontId="49" fillId="0" borderId="0" xfId="0" applyNumberFormat="1" applyFont="1" applyAlignment="1" applyProtection="1">
      <alignment horizontal="center"/>
      <protection locked="0"/>
    </xf>
    <xf numFmtId="0" fontId="45" fillId="39" borderId="184" xfId="0" applyFont="1" applyFill="1" applyBorder="1" applyAlignment="1">
      <alignment horizontal="center" vertical="center"/>
    </xf>
    <xf numFmtId="0" fontId="47" fillId="34" borderId="164" xfId="0" applyFont="1" applyFill="1" applyBorder="1"/>
    <xf numFmtId="0" fontId="45" fillId="39" borderId="187" xfId="0" applyFont="1" applyFill="1" applyBorder="1" applyAlignment="1">
      <alignment vertical="center" wrapText="1"/>
    </xf>
    <xf numFmtId="0" fontId="47" fillId="34" borderId="188" xfId="0" applyFont="1" applyFill="1" applyBorder="1"/>
    <xf numFmtId="0" fontId="47" fillId="34" borderId="86" xfId="0" applyFont="1" applyFill="1" applyBorder="1"/>
    <xf numFmtId="0" fontId="47" fillId="34" borderId="97" xfId="0" applyFont="1" applyFill="1" applyBorder="1"/>
    <xf numFmtId="0" fontId="45" fillId="39" borderId="189" xfId="0" applyFont="1" applyFill="1" applyBorder="1" applyAlignment="1">
      <alignment horizontal="center" vertical="center" wrapText="1"/>
    </xf>
    <xf numFmtId="3" fontId="47" fillId="34" borderId="34" xfId="0" applyNumberFormat="1" applyFont="1" applyFill="1" applyBorder="1" applyAlignment="1">
      <alignment horizontal="center"/>
    </xf>
    <xf numFmtId="0" fontId="47" fillId="34" borderId="161" xfId="0" applyFont="1" applyFill="1" applyBorder="1" applyAlignment="1">
      <alignment horizontal="center"/>
    </xf>
    <xf numFmtId="0" fontId="47" fillId="34" borderId="34" xfId="0" applyFont="1" applyFill="1" applyBorder="1" applyAlignment="1">
      <alignment horizontal="center"/>
    </xf>
    <xf numFmtId="0" fontId="47" fillId="34" borderId="190" xfId="0" applyFont="1" applyFill="1" applyBorder="1" applyAlignment="1">
      <alignment horizontal="center"/>
    </xf>
    <xf numFmtId="0" fontId="47" fillId="31" borderId="140" xfId="0" applyFont="1" applyFill="1" applyBorder="1" applyAlignment="1" applyProtection="1">
      <alignment horizontal="center"/>
      <protection locked="0"/>
    </xf>
    <xf numFmtId="0" fontId="47" fillId="31" borderId="33" xfId="0" applyFont="1" applyFill="1" applyBorder="1" applyAlignment="1" applyProtection="1">
      <alignment horizontal="center"/>
      <protection locked="0"/>
    </xf>
    <xf numFmtId="0" fontId="54" fillId="38" borderId="4" xfId="0" applyFont="1" applyFill="1" applyBorder="1"/>
    <xf numFmtId="0" fontId="54" fillId="38" borderId="5" xfId="0" applyFont="1" applyFill="1" applyBorder="1"/>
    <xf numFmtId="0" fontId="54" fillId="38" borderId="6" xfId="0" applyFont="1" applyFill="1" applyBorder="1"/>
    <xf numFmtId="0" fontId="54" fillId="38" borderId="1" xfId="0" applyFont="1" applyFill="1" applyBorder="1"/>
    <xf numFmtId="0" fontId="54" fillId="38" borderId="7" xfId="0" applyFont="1" applyFill="1" applyBorder="1"/>
    <xf numFmtId="0" fontId="54" fillId="38" borderId="7" xfId="0" applyFont="1" applyFill="1" applyBorder="1" applyAlignment="1">
      <alignment horizontal="left"/>
    </xf>
    <xf numFmtId="10" fontId="54" fillId="38" borderId="7" xfId="35" applyNumberFormat="1" applyFont="1" applyFill="1" applyBorder="1" applyAlignment="1" applyProtection="1">
      <alignment horizontal="center"/>
    </xf>
    <xf numFmtId="0" fontId="54" fillId="38" borderId="129" xfId="0" applyFont="1" applyFill="1" applyBorder="1"/>
    <xf numFmtId="0" fontId="54" fillId="38" borderId="127" xfId="0" applyFont="1" applyFill="1" applyBorder="1"/>
    <xf numFmtId="10" fontId="54" fillId="38" borderId="128" xfId="35" applyNumberFormat="1" applyFont="1" applyFill="1" applyBorder="1" applyAlignment="1" applyProtection="1">
      <alignment horizontal="center"/>
    </xf>
    <xf numFmtId="3" fontId="47" fillId="31" borderId="18" xfId="0" applyNumberFormat="1" applyFont="1" applyFill="1" applyBorder="1" applyProtection="1">
      <protection locked="0"/>
    </xf>
    <xf numFmtId="4" fontId="47" fillId="3" borderId="0" xfId="39" applyNumberFormat="1" applyFont="1" applyFill="1" applyProtection="1">
      <protection locked="0"/>
    </xf>
    <xf numFmtId="168" fontId="54" fillId="0" borderId="0" xfId="0" applyNumberFormat="1" applyFont="1" applyProtection="1">
      <protection locked="0"/>
    </xf>
    <xf numFmtId="3" fontId="103" fillId="32" borderId="178" xfId="332" applyNumberFormat="1" applyFont="1" applyFill="1" applyBorder="1"/>
    <xf numFmtId="3" fontId="103" fillId="32" borderId="142" xfId="332" applyNumberFormat="1" applyFont="1" applyFill="1" applyBorder="1"/>
    <xf numFmtId="16" fontId="49" fillId="6" borderId="191" xfId="332" applyNumberFormat="1" applyFont="1" applyFill="1" applyBorder="1"/>
    <xf numFmtId="0" fontId="61" fillId="0" borderId="0" xfId="332" applyFont="1"/>
    <xf numFmtId="0" fontId="68" fillId="0" borderId="0" xfId="8" applyFont="1"/>
    <xf numFmtId="0" fontId="49" fillId="0" borderId="0" xfId="8" applyFont="1"/>
    <xf numFmtId="3" fontId="103" fillId="32" borderId="26" xfId="332" applyNumberFormat="1" applyFont="1" applyFill="1" applyBorder="1"/>
    <xf numFmtId="3" fontId="103" fillId="32" borderId="2" xfId="332" applyNumberFormat="1" applyFont="1" applyFill="1" applyBorder="1"/>
    <xf numFmtId="3" fontId="103" fillId="32" borderId="132" xfId="332" applyNumberFormat="1" applyFont="1" applyFill="1" applyBorder="1"/>
    <xf numFmtId="3" fontId="103" fillId="32" borderId="146" xfId="332" applyNumberFormat="1" applyFont="1" applyFill="1" applyBorder="1"/>
    <xf numFmtId="0" fontId="51" fillId="39" borderId="176" xfId="332" applyFont="1" applyFill="1" applyBorder="1" applyAlignment="1">
      <alignment horizontal="left"/>
    </xf>
    <xf numFmtId="0" fontId="46" fillId="39" borderId="130" xfId="332" applyFont="1" applyFill="1" applyBorder="1" applyAlignment="1">
      <alignment horizontal="center"/>
    </xf>
    <xf numFmtId="3" fontId="102" fillId="32" borderId="5" xfId="332" applyNumberFormat="1" applyFont="1" applyFill="1" applyBorder="1" applyProtection="1">
      <protection locked="0"/>
    </xf>
    <xf numFmtId="3" fontId="102" fillId="32" borderId="6" xfId="332" applyNumberFormat="1" applyFont="1" applyFill="1" applyBorder="1" applyProtection="1">
      <protection locked="0"/>
    </xf>
    <xf numFmtId="3" fontId="102" fillId="32" borderId="1" xfId="332" applyNumberFormat="1" applyFont="1" applyFill="1" applyBorder="1" applyProtection="1">
      <protection locked="0"/>
    </xf>
    <xf numFmtId="3" fontId="102" fillId="32" borderId="0" xfId="332" applyNumberFormat="1" applyFont="1" applyFill="1" applyProtection="1">
      <protection locked="0"/>
    </xf>
    <xf numFmtId="3" fontId="102" fillId="32" borderId="7" xfId="332" applyNumberFormat="1" applyFont="1" applyFill="1" applyBorder="1" applyProtection="1">
      <protection locked="0"/>
    </xf>
    <xf numFmtId="3" fontId="102" fillId="32" borderId="176" xfId="332" applyNumberFormat="1" applyFont="1" applyFill="1" applyBorder="1" applyProtection="1">
      <protection locked="0"/>
    </xf>
    <xf numFmtId="3" fontId="102" fillId="32" borderId="154" xfId="332" applyNumberFormat="1" applyFont="1" applyFill="1" applyBorder="1" applyProtection="1">
      <protection locked="0"/>
    </xf>
    <xf numFmtId="3" fontId="102" fillId="32" borderId="139" xfId="332" applyNumberFormat="1" applyFont="1" applyFill="1" applyBorder="1" applyProtection="1">
      <protection locked="0"/>
    </xf>
    <xf numFmtId="3" fontId="102" fillId="32" borderId="136" xfId="332" applyNumberFormat="1" applyFont="1" applyFill="1" applyBorder="1" applyProtection="1">
      <protection locked="0"/>
    </xf>
    <xf numFmtId="0" fontId="102" fillId="32" borderId="5" xfId="332" applyFont="1" applyFill="1" applyBorder="1"/>
    <xf numFmtId="3" fontId="102" fillId="32" borderId="26" xfId="332" applyNumberFormat="1" applyFont="1" applyFill="1" applyBorder="1" applyProtection="1">
      <protection locked="0"/>
    </xf>
    <xf numFmtId="0" fontId="102" fillId="32" borderId="0" xfId="332" applyFont="1" applyFill="1"/>
    <xf numFmtId="3" fontId="102" fillId="32" borderId="146" xfId="332" applyNumberFormat="1" applyFont="1" applyFill="1" applyBorder="1" applyProtection="1">
      <protection locked="0"/>
    </xf>
    <xf numFmtId="0" fontId="102" fillId="32" borderId="178" xfId="332" applyFont="1" applyFill="1" applyBorder="1"/>
    <xf numFmtId="3" fontId="102" fillId="32" borderId="132" xfId="332" applyNumberFormat="1" applyFont="1" applyFill="1" applyBorder="1" applyProtection="1">
      <protection locked="0"/>
    </xf>
    <xf numFmtId="0" fontId="102" fillId="32" borderId="142" xfId="332" applyFont="1" applyFill="1" applyBorder="1"/>
    <xf numFmtId="16" fontId="101" fillId="32" borderId="1" xfId="332" quotePrefix="1" applyNumberFormat="1" applyFont="1" applyFill="1" applyBorder="1" applyAlignment="1">
      <alignment horizontal="center" vertical="center" wrapText="1"/>
    </xf>
    <xf numFmtId="16" fontId="49" fillId="0" borderId="0" xfId="332" applyNumberFormat="1" applyFont="1"/>
    <xf numFmtId="0" fontId="46" fillId="0" borderId="0" xfId="332" applyFont="1"/>
    <xf numFmtId="3" fontId="47" fillId="0" borderId="0" xfId="332" applyNumberFormat="1" applyFont="1"/>
    <xf numFmtId="3" fontId="48" fillId="0" borderId="0" xfId="332" applyNumberFormat="1" applyFont="1"/>
    <xf numFmtId="4" fontId="47" fillId="3" borderId="7" xfId="39" applyNumberFormat="1" applyFont="1" applyFill="1" applyBorder="1" applyProtection="1">
      <protection locked="0"/>
    </xf>
    <xf numFmtId="4" fontId="47" fillId="3" borderId="1" xfId="39" applyNumberFormat="1" applyFont="1" applyFill="1" applyBorder="1" applyProtection="1">
      <protection locked="0"/>
    </xf>
    <xf numFmtId="3" fontId="48" fillId="6" borderId="191" xfId="332" applyNumberFormat="1" applyFont="1" applyFill="1" applyBorder="1"/>
    <xf numFmtId="3" fontId="48" fillId="6" borderId="127" xfId="332" applyNumberFormat="1" applyFont="1" applyFill="1" applyBorder="1"/>
    <xf numFmtId="3" fontId="48" fillId="6" borderId="128" xfId="332" applyNumberFormat="1" applyFont="1" applyFill="1" applyBorder="1"/>
    <xf numFmtId="3" fontId="102" fillId="32" borderId="17" xfId="332" applyNumberFormat="1" applyFont="1" applyFill="1" applyBorder="1" applyProtection="1">
      <protection locked="0"/>
    </xf>
    <xf numFmtId="0" fontId="101" fillId="32" borderId="19" xfId="332" applyFont="1" applyFill="1" applyBorder="1" applyAlignment="1">
      <alignment horizontal="center" vertical="center" wrapText="1"/>
    </xf>
    <xf numFmtId="3" fontId="103" fillId="32" borderId="31" xfId="332" applyNumberFormat="1" applyFont="1" applyFill="1" applyBorder="1"/>
    <xf numFmtId="16" fontId="101" fillId="32" borderId="1" xfId="332" applyNumberFormat="1" applyFont="1" applyFill="1" applyBorder="1" applyAlignment="1">
      <alignment horizontal="center" vertical="center" wrapText="1"/>
    </xf>
    <xf numFmtId="3" fontId="103" fillId="32" borderId="7" xfId="332" applyNumberFormat="1" applyFont="1" applyFill="1" applyBorder="1"/>
    <xf numFmtId="16" fontId="101" fillId="32" borderId="19" xfId="332" applyNumberFormat="1" applyFont="1" applyFill="1" applyBorder="1" applyAlignment="1">
      <alignment horizontal="center" vertical="center" wrapText="1"/>
    </xf>
    <xf numFmtId="3" fontId="102" fillId="32" borderId="19" xfId="332" applyNumberFormat="1" applyFont="1" applyFill="1" applyBorder="1" applyProtection="1">
      <protection locked="0"/>
    </xf>
    <xf numFmtId="3" fontId="102" fillId="32" borderId="31" xfId="332" applyNumberFormat="1" applyFont="1" applyFill="1" applyBorder="1" applyProtection="1">
      <protection locked="0"/>
    </xf>
    <xf numFmtId="0" fontId="102" fillId="32" borderId="158" xfId="332" applyFont="1" applyFill="1" applyBorder="1"/>
    <xf numFmtId="0" fontId="102" fillId="32" borderId="22" xfId="332" applyFont="1" applyFill="1" applyBorder="1"/>
    <xf numFmtId="0" fontId="68" fillId="3" borderId="91" xfId="0" applyFont="1" applyFill="1" applyBorder="1" applyAlignment="1" applyProtection="1">
      <alignment horizontal="center"/>
      <protection locked="0"/>
    </xf>
    <xf numFmtId="0" fontId="54" fillId="32" borderId="91" xfId="0" applyFont="1" applyFill="1" applyBorder="1" applyAlignment="1" applyProtection="1">
      <alignment horizontal="center" vertical="center" wrapText="1"/>
      <protection locked="0"/>
    </xf>
    <xf numFmtId="3" fontId="47" fillId="3" borderId="7" xfId="0" applyNumberFormat="1" applyFont="1" applyFill="1" applyBorder="1" applyProtection="1">
      <protection locked="0"/>
    </xf>
    <xf numFmtId="3" fontId="47" fillId="31" borderId="7" xfId="0" applyNumberFormat="1" applyFont="1" applyFill="1" applyBorder="1" applyProtection="1">
      <protection locked="0"/>
    </xf>
    <xf numFmtId="3" fontId="47" fillId="31" borderId="10" xfId="0" applyNumberFormat="1" applyFont="1" applyFill="1" applyBorder="1" applyProtection="1">
      <protection locked="0"/>
    </xf>
    <xf numFmtId="0" fontId="61" fillId="0" borderId="8" xfId="332" applyFont="1" applyBorder="1"/>
    <xf numFmtId="0" fontId="50" fillId="0" borderId="0" xfId="0" applyFont="1"/>
    <xf numFmtId="171" fontId="50" fillId="0" borderId="0" xfId="0" applyNumberFormat="1" applyFont="1"/>
    <xf numFmtId="171" fontId="49" fillId="0" borderId="0" xfId="0" applyNumberFormat="1" applyFont="1"/>
    <xf numFmtId="0" fontId="5" fillId="0" borderId="0" xfId="0" applyFont="1"/>
    <xf numFmtId="167" fontId="49" fillId="0" borderId="0" xfId="0" applyNumberFormat="1" applyFont="1"/>
    <xf numFmtId="0" fontId="45" fillId="39" borderId="4" xfId="0" applyFont="1" applyFill="1" applyBorder="1" applyAlignment="1">
      <alignment horizontal="center"/>
    </xf>
    <xf numFmtId="0" fontId="45" fillId="39" borderId="180" xfId="0" applyFont="1" applyFill="1" applyBorder="1" applyAlignment="1">
      <alignment horizontal="left"/>
    </xf>
    <xf numFmtId="0" fontId="45" fillId="39" borderId="181" xfId="0" applyFont="1" applyFill="1" applyBorder="1" applyAlignment="1">
      <alignment horizontal="left"/>
    </xf>
    <xf numFmtId="0" fontId="46" fillId="39" borderId="5" xfId="0" applyFont="1" applyFill="1" applyBorder="1" applyAlignment="1">
      <alignment horizontal="center"/>
    </xf>
    <xf numFmtId="0" fontId="45" fillId="39" borderId="5" xfId="0" applyFont="1" applyFill="1" applyBorder="1" applyAlignment="1">
      <alignment horizontal="center"/>
    </xf>
    <xf numFmtId="0" fontId="45" fillId="39" borderId="6" xfId="0" applyFont="1" applyFill="1" applyBorder="1" applyAlignment="1">
      <alignment horizontal="center"/>
    </xf>
    <xf numFmtId="0" fontId="45" fillId="39" borderId="1" xfId="0" applyFont="1" applyFill="1" applyBorder="1" applyAlignment="1">
      <alignment horizontal="center"/>
    </xf>
    <xf numFmtId="0" fontId="47" fillId="39" borderId="1" xfId="0" applyFont="1" applyFill="1" applyBorder="1"/>
    <xf numFmtId="0" fontId="48" fillId="39" borderId="0" xfId="0" applyFont="1" applyFill="1" applyAlignment="1">
      <alignment horizontal="center"/>
    </xf>
    <xf numFmtId="0" fontId="46" fillId="39" borderId="0" xfId="0" applyFont="1" applyFill="1" applyAlignment="1">
      <alignment horizontal="center"/>
    </xf>
    <xf numFmtId="0" fontId="46" fillId="39" borderId="7" xfId="0" applyFont="1" applyFill="1" applyBorder="1" applyAlignment="1">
      <alignment horizontal="center"/>
    </xf>
    <xf numFmtId="174" fontId="48" fillId="39" borderId="1" xfId="0" applyNumberFormat="1" applyFont="1" applyFill="1" applyBorder="1" applyAlignment="1">
      <alignment horizontal="left"/>
    </xf>
    <xf numFmtId="176" fontId="48" fillId="39" borderId="191" xfId="0" applyNumberFormat="1" applyFont="1" applyFill="1" applyBorder="1" applyAlignment="1">
      <alignment horizontal="left"/>
    </xf>
    <xf numFmtId="0" fontId="47" fillId="39" borderId="59" xfId="0" applyFont="1" applyFill="1" applyBorder="1" applyAlignment="1">
      <alignment horizontal="center"/>
    </xf>
    <xf numFmtId="0" fontId="47" fillId="39" borderId="194" xfId="0" applyFont="1" applyFill="1" applyBorder="1" applyAlignment="1">
      <alignment horizontal="center"/>
    </xf>
    <xf numFmtId="0" fontId="47" fillId="34" borderId="4" xfId="0" applyFont="1" applyFill="1" applyBorder="1" applyAlignment="1">
      <alignment horizontal="right"/>
    </xf>
    <xf numFmtId="0" fontId="51" fillId="34" borderId="0" xfId="0" applyFont="1" applyFill="1"/>
    <xf numFmtId="3" fontId="47" fillId="32" borderId="7" xfId="0" applyNumberFormat="1" applyFont="1" applyFill="1" applyBorder="1" applyAlignment="1">
      <alignment horizontal="right"/>
    </xf>
    <xf numFmtId="0" fontId="47" fillId="34" borderId="1" xfId="0" applyFont="1" applyFill="1" applyBorder="1" applyAlignment="1">
      <alignment horizontal="right"/>
    </xf>
    <xf numFmtId="0" fontId="47" fillId="34" borderId="0" xfId="0" applyFont="1" applyFill="1"/>
    <xf numFmtId="0" fontId="46" fillId="6" borderId="19" xfId="0" applyFont="1" applyFill="1" applyBorder="1"/>
    <xf numFmtId="0" fontId="46" fillId="6" borderId="17" xfId="0" applyFont="1" applyFill="1" applyBorder="1"/>
    <xf numFmtId="3" fontId="46" fillId="6" borderId="31" xfId="0" applyNumberFormat="1" applyFont="1" applyFill="1" applyBorder="1" applyAlignment="1">
      <alignment horizontal="right"/>
    </xf>
    <xf numFmtId="3" fontId="46" fillId="6" borderId="69" xfId="0" applyNumberFormat="1" applyFont="1" applyFill="1" applyBorder="1"/>
    <xf numFmtId="3" fontId="46" fillId="6" borderId="195" xfId="0" applyNumberFormat="1" applyFont="1" applyFill="1" applyBorder="1"/>
    <xf numFmtId="3" fontId="47" fillId="0" borderId="7" xfId="0" applyNumberFormat="1" applyFont="1" applyBorder="1" applyAlignment="1">
      <alignment horizontal="right"/>
    </xf>
    <xf numFmtId="175" fontId="47" fillId="34" borderId="1" xfId="0" applyNumberFormat="1" applyFont="1" applyFill="1" applyBorder="1" applyAlignment="1">
      <alignment horizontal="right"/>
    </xf>
    <xf numFmtId="177" fontId="47" fillId="34" borderId="0" xfId="0" applyNumberFormat="1" applyFont="1" applyFill="1" applyAlignment="1">
      <alignment horizontal="left"/>
    </xf>
    <xf numFmtId="0" fontId="46" fillId="6" borderId="8" xfId="0" applyFont="1" applyFill="1" applyBorder="1"/>
    <xf numFmtId="0" fontId="46" fillId="6" borderId="11" xfId="0" applyFont="1" applyFill="1" applyBorder="1"/>
    <xf numFmtId="3" fontId="46" fillId="6" borderId="12" xfId="0" applyNumberFormat="1" applyFont="1" applyFill="1" applyBorder="1" applyAlignment="1">
      <alignment horizontal="right"/>
    </xf>
    <xf numFmtId="3" fontId="46" fillId="6" borderId="196" xfId="0" applyNumberFormat="1" applyFont="1" applyFill="1" applyBorder="1"/>
    <xf numFmtId="3" fontId="46" fillId="6" borderId="197" xfId="0" applyNumberFormat="1" applyFont="1" applyFill="1" applyBorder="1"/>
    <xf numFmtId="0" fontId="5" fillId="0" borderId="0" xfId="0" applyFont="1" applyAlignment="1">
      <alignment horizontal="right"/>
    </xf>
    <xf numFmtId="175" fontId="99" fillId="34" borderId="9" xfId="0" applyNumberFormat="1" applyFont="1" applyFill="1" applyBorder="1" applyAlignment="1">
      <alignment horizontal="center"/>
    </xf>
    <xf numFmtId="177" fontId="47" fillId="34" borderId="18" xfId="0" applyNumberFormat="1" applyFont="1" applyFill="1" applyBorder="1" applyAlignment="1">
      <alignment horizontal="left"/>
    </xf>
    <xf numFmtId="3" fontId="47" fillId="32" borderId="10" xfId="0" applyNumberFormat="1" applyFont="1" applyFill="1" applyBorder="1" applyAlignment="1">
      <alignment horizontal="right"/>
    </xf>
    <xf numFmtId="0" fontId="99" fillId="34" borderId="191" xfId="0" applyFont="1" applyFill="1" applyBorder="1" applyAlignment="1">
      <alignment horizontal="center"/>
    </xf>
    <xf numFmtId="0" fontId="46" fillId="34" borderId="127" xfId="0" applyFont="1" applyFill="1" applyBorder="1"/>
    <xf numFmtId="3" fontId="47" fillId="32" borderId="128" xfId="0" applyNumberFormat="1" applyFont="1" applyFill="1" applyBorder="1" applyAlignment="1">
      <alignment horizontal="right"/>
    </xf>
    <xf numFmtId="3" fontId="46" fillId="0" borderId="127" xfId="0" applyNumberFormat="1" applyFont="1" applyBorder="1"/>
    <xf numFmtId="3" fontId="46" fillId="0" borderId="128" xfId="0" applyNumberFormat="1" applyFont="1" applyBorder="1"/>
    <xf numFmtId="168" fontId="46" fillId="0" borderId="128" xfId="35" applyNumberFormat="1" applyFont="1" applyFill="1" applyBorder="1" applyAlignment="1" applyProtection="1">
      <alignment horizontal="center"/>
    </xf>
    <xf numFmtId="168" fontId="46" fillId="0" borderId="127" xfId="35" applyNumberFormat="1" applyFont="1" applyFill="1" applyBorder="1" applyProtection="1"/>
    <xf numFmtId="168" fontId="46" fillId="0" borderId="128" xfId="35" applyNumberFormat="1" applyFont="1" applyFill="1" applyBorder="1" applyProtection="1"/>
    <xf numFmtId="0" fontId="45" fillId="39" borderId="61" xfId="0" applyFont="1" applyFill="1" applyBorder="1" applyAlignment="1">
      <alignment horizontal="center"/>
    </xf>
    <xf numFmtId="0" fontId="45" fillId="39" borderId="64" xfId="0" applyFont="1" applyFill="1" applyBorder="1" applyAlignment="1">
      <alignment horizontal="left"/>
    </xf>
    <xf numFmtId="0" fontId="46" fillId="39" borderId="55" xfId="0" applyFont="1" applyFill="1" applyBorder="1" applyAlignment="1">
      <alignment horizontal="center"/>
    </xf>
    <xf numFmtId="0" fontId="45" fillId="39" borderId="55" xfId="0" applyFont="1" applyFill="1" applyBorder="1" applyAlignment="1">
      <alignment horizontal="center"/>
    </xf>
    <xf numFmtId="0" fontId="45" fillId="39" borderId="56" xfId="0" applyFont="1" applyFill="1" applyBorder="1" applyAlignment="1">
      <alignment horizontal="center"/>
    </xf>
    <xf numFmtId="0" fontId="45" fillId="39" borderId="101" xfId="0" applyFont="1" applyFill="1" applyBorder="1" applyAlignment="1">
      <alignment horizontal="center"/>
    </xf>
    <xf numFmtId="0" fontId="47" fillId="39" borderId="0" xfId="0" applyFont="1" applyFill="1"/>
    <xf numFmtId="0" fontId="48" fillId="39" borderId="75" xfId="0" applyFont="1" applyFill="1" applyBorder="1" applyAlignment="1">
      <alignment horizontal="center"/>
    </xf>
    <xf numFmtId="0" fontId="46" fillId="39" borderId="57" xfId="0" applyFont="1" applyFill="1" applyBorder="1" applyAlignment="1">
      <alignment horizontal="center"/>
    </xf>
    <xf numFmtId="174" fontId="48" fillId="39" borderId="62" xfId="0" applyNumberFormat="1" applyFont="1" applyFill="1" applyBorder="1" applyAlignment="1">
      <alignment horizontal="left"/>
    </xf>
    <xf numFmtId="176" fontId="48" fillId="39" borderId="59" xfId="0" applyNumberFormat="1" applyFont="1" applyFill="1" applyBorder="1" applyAlignment="1">
      <alignment horizontal="left"/>
    </xf>
    <xf numFmtId="0" fontId="47" fillId="39" borderId="58" xfId="0" applyFont="1" applyFill="1" applyBorder="1" applyAlignment="1">
      <alignment horizontal="center"/>
    </xf>
    <xf numFmtId="0" fontId="47" fillId="39" borderId="60" xfId="0" applyFont="1" applyFill="1" applyBorder="1" applyAlignment="1">
      <alignment horizontal="center"/>
    </xf>
    <xf numFmtId="0" fontId="47" fillId="34" borderId="73" xfId="0" applyFont="1" applyFill="1" applyBorder="1"/>
    <xf numFmtId="0" fontId="51" fillId="34" borderId="55" xfId="0" applyFont="1" applyFill="1" applyBorder="1"/>
    <xf numFmtId="3" fontId="47" fillId="34" borderId="56" xfId="0" applyNumberFormat="1" applyFont="1" applyFill="1" applyBorder="1" applyAlignment="1">
      <alignment horizontal="right"/>
    </xf>
    <xf numFmtId="3" fontId="47" fillId="3" borderId="0" xfId="0" applyNumberFormat="1" applyFont="1" applyFill="1"/>
    <xf numFmtId="0" fontId="5" fillId="0" borderId="75" xfId="0" applyFont="1" applyBorder="1"/>
    <xf numFmtId="0" fontId="47" fillId="34" borderId="75" xfId="0" applyFont="1" applyFill="1" applyBorder="1"/>
    <xf numFmtId="3" fontId="47" fillId="34" borderId="57" xfId="0" applyNumberFormat="1" applyFont="1" applyFill="1" applyBorder="1" applyAlignment="1">
      <alignment horizontal="right"/>
    </xf>
    <xf numFmtId="3" fontId="47" fillId="34" borderId="81" xfId="0" applyNumberFormat="1" applyFont="1" applyFill="1" applyBorder="1" applyAlignment="1">
      <alignment horizontal="right"/>
    </xf>
    <xf numFmtId="0" fontId="46" fillId="6" borderId="76" xfId="0" applyFont="1" applyFill="1" applyBorder="1"/>
    <xf numFmtId="0" fontId="46" fillId="6" borderId="69" xfId="0" applyFont="1" applyFill="1" applyBorder="1"/>
    <xf numFmtId="3" fontId="46" fillId="6" borderId="77" xfId="0" applyNumberFormat="1" applyFont="1" applyFill="1" applyBorder="1" applyAlignment="1">
      <alignment horizontal="right"/>
    </xf>
    <xf numFmtId="3" fontId="46" fillId="6" borderId="76" xfId="0" applyNumberFormat="1" applyFont="1" applyFill="1" applyBorder="1"/>
    <xf numFmtId="3" fontId="46" fillId="6" borderId="77" xfId="0" applyNumberFormat="1" applyFont="1" applyFill="1" applyBorder="1"/>
    <xf numFmtId="0" fontId="47" fillId="34" borderId="76" xfId="0" applyFont="1" applyFill="1" applyBorder="1"/>
    <xf numFmtId="0" fontId="47" fillId="34" borderId="69" xfId="0" applyFont="1" applyFill="1" applyBorder="1"/>
    <xf numFmtId="3" fontId="47" fillId="34" borderId="77" xfId="0" applyNumberFormat="1" applyFont="1" applyFill="1" applyBorder="1" applyAlignment="1">
      <alignment horizontal="right"/>
    </xf>
    <xf numFmtId="175" fontId="47" fillId="34" borderId="78" xfId="0" applyNumberFormat="1" applyFont="1" applyFill="1" applyBorder="1" applyAlignment="1">
      <alignment horizontal="left"/>
    </xf>
    <xf numFmtId="177" fontId="47" fillId="34" borderId="71" xfId="0" applyNumberFormat="1" applyFont="1" applyFill="1" applyBorder="1" applyAlignment="1">
      <alignment horizontal="left"/>
    </xf>
    <xf numFmtId="3" fontId="47" fillId="34" borderId="79" xfId="0" applyNumberFormat="1" applyFont="1" applyFill="1" applyBorder="1" applyAlignment="1">
      <alignment horizontal="right"/>
    </xf>
    <xf numFmtId="3" fontId="47" fillId="31" borderId="0" xfId="0" applyNumberFormat="1" applyFont="1" applyFill="1"/>
    <xf numFmtId="0" fontId="46" fillId="6" borderId="58" xfId="0" applyFont="1" applyFill="1" applyBorder="1"/>
    <xf numFmtId="0" fontId="46" fillId="6" borderId="59" xfId="0" applyFont="1" applyFill="1" applyBorder="1"/>
    <xf numFmtId="3" fontId="46" fillId="6" borderId="60" xfId="0" applyNumberFormat="1" applyFont="1" applyFill="1" applyBorder="1" applyAlignment="1">
      <alignment horizontal="right"/>
    </xf>
    <xf numFmtId="3" fontId="46" fillId="6" borderId="89" xfId="0" applyNumberFormat="1" applyFont="1" applyFill="1" applyBorder="1"/>
    <xf numFmtId="3" fontId="46" fillId="6" borderId="92" xfId="0" applyNumberFormat="1" applyFont="1" applyFill="1" applyBorder="1"/>
    <xf numFmtId="3" fontId="46" fillId="6" borderId="93" xfId="0" applyNumberFormat="1" applyFont="1" applyFill="1" applyBorder="1"/>
    <xf numFmtId="0" fontId="45" fillId="45" borderId="61" xfId="0" applyFont="1" applyFill="1" applyBorder="1" applyAlignment="1">
      <alignment horizontal="center"/>
    </xf>
    <xf numFmtId="0" fontId="45" fillId="45" borderId="64" xfId="0" applyFont="1" applyFill="1" applyBorder="1" applyAlignment="1">
      <alignment horizontal="left"/>
    </xf>
    <xf numFmtId="0" fontId="45" fillId="45" borderId="65" xfId="0" applyFont="1" applyFill="1" applyBorder="1" applyAlignment="1">
      <alignment horizontal="left"/>
    </xf>
    <xf numFmtId="0" fontId="45" fillId="45" borderId="73" xfId="0" applyFont="1" applyFill="1" applyBorder="1" applyAlignment="1">
      <alignment horizontal="center"/>
    </xf>
    <xf numFmtId="0" fontId="45" fillId="45" borderId="55" xfId="0" applyFont="1" applyFill="1" applyBorder="1" applyAlignment="1">
      <alignment horizontal="center"/>
    </xf>
    <xf numFmtId="0" fontId="45" fillId="45" borderId="56" xfId="0" applyFont="1" applyFill="1" applyBorder="1" applyAlignment="1">
      <alignment horizontal="center"/>
    </xf>
    <xf numFmtId="0" fontId="45" fillId="45" borderId="101" xfId="0" applyFont="1" applyFill="1" applyBorder="1" applyAlignment="1">
      <alignment horizontal="center"/>
    </xf>
    <xf numFmtId="0" fontId="47" fillId="45" borderId="0" xfId="0" applyFont="1" applyFill="1"/>
    <xf numFmtId="0" fontId="48" fillId="45" borderId="75" xfId="0" applyFont="1" applyFill="1" applyBorder="1" applyAlignment="1">
      <alignment horizontal="center"/>
    </xf>
    <xf numFmtId="0" fontId="46" fillId="45" borderId="0" xfId="0" applyFont="1" applyFill="1" applyAlignment="1">
      <alignment horizontal="center"/>
    </xf>
    <xf numFmtId="0" fontId="46" fillId="45" borderId="57" xfId="0" applyFont="1" applyFill="1" applyBorder="1" applyAlignment="1">
      <alignment horizontal="center"/>
    </xf>
    <xf numFmtId="174" fontId="48" fillId="45" borderId="62" xfId="0" applyNumberFormat="1" applyFont="1" applyFill="1" applyBorder="1" applyAlignment="1">
      <alignment horizontal="left"/>
    </xf>
    <xf numFmtId="174" fontId="48" fillId="45" borderId="59" xfId="0" applyNumberFormat="1" applyFont="1" applyFill="1" applyBorder="1" applyAlignment="1">
      <alignment horizontal="left"/>
    </xf>
    <xf numFmtId="0" fontId="47" fillId="45" borderId="58" xfId="0" applyFont="1" applyFill="1" applyBorder="1" applyAlignment="1">
      <alignment horizontal="center"/>
    </xf>
    <xf numFmtId="0" fontId="47" fillId="45" borderId="59" xfId="0" applyFont="1" applyFill="1" applyBorder="1" applyAlignment="1">
      <alignment horizontal="center"/>
    </xf>
    <xf numFmtId="0" fontId="47" fillId="45" borderId="60" xfId="0" applyFont="1" applyFill="1" applyBorder="1" applyAlignment="1">
      <alignment horizontal="center"/>
    </xf>
    <xf numFmtId="3" fontId="47" fillId="32" borderId="74" xfId="0" applyNumberFormat="1" applyFont="1" applyFill="1" applyBorder="1" applyAlignment="1">
      <alignment horizontal="right"/>
    </xf>
    <xf numFmtId="3" fontId="47" fillId="32" borderId="68" xfId="0" applyNumberFormat="1" applyFont="1" applyFill="1" applyBorder="1" applyAlignment="1">
      <alignment horizontal="right"/>
    </xf>
    <xf numFmtId="3" fontId="47" fillId="32" borderId="83" xfId="0" applyNumberFormat="1" applyFont="1" applyFill="1" applyBorder="1" applyAlignment="1">
      <alignment horizontal="right"/>
    </xf>
    <xf numFmtId="3" fontId="46" fillId="6" borderId="70" xfId="0" applyNumberFormat="1" applyFont="1" applyFill="1" applyBorder="1" applyAlignment="1">
      <alignment horizontal="right"/>
    </xf>
    <xf numFmtId="175" fontId="47" fillId="34" borderId="75" xfId="0" applyNumberFormat="1" applyFont="1" applyFill="1" applyBorder="1" applyAlignment="1">
      <alignment horizontal="left"/>
    </xf>
    <xf numFmtId="177" fontId="47" fillId="34" borderId="87" xfId="0" applyNumberFormat="1" applyFont="1" applyFill="1" applyBorder="1" applyAlignment="1">
      <alignment horizontal="left"/>
    </xf>
    <xf numFmtId="3" fontId="47" fillId="0" borderId="66" xfId="0" applyNumberFormat="1" applyFont="1" applyBorder="1"/>
    <xf numFmtId="0" fontId="46" fillId="6" borderId="89" xfId="0" applyFont="1" applyFill="1" applyBorder="1"/>
    <xf numFmtId="0" fontId="46" fillId="6" borderId="90" xfId="0" applyFont="1" applyFill="1" applyBorder="1" applyAlignment="1">
      <alignment horizontal="right"/>
    </xf>
    <xf numFmtId="3" fontId="46" fillId="6" borderId="88" xfId="0" applyNumberFormat="1" applyFont="1" applyFill="1" applyBorder="1" applyAlignment="1">
      <alignment horizontal="right"/>
    </xf>
    <xf numFmtId="169" fontId="47" fillId="34" borderId="56" xfId="0" applyNumberFormat="1" applyFont="1" applyFill="1" applyBorder="1" applyAlignment="1">
      <alignment horizontal="right"/>
    </xf>
    <xf numFmtId="169" fontId="47" fillId="34" borderId="57" xfId="0" applyNumberFormat="1" applyFont="1" applyFill="1" applyBorder="1" applyAlignment="1">
      <alignment horizontal="right"/>
    </xf>
    <xf numFmtId="169" fontId="46" fillId="6" borderId="77" xfId="0" applyNumberFormat="1" applyFont="1" applyFill="1" applyBorder="1" applyAlignment="1">
      <alignment horizontal="right"/>
    </xf>
    <xf numFmtId="169" fontId="47" fillId="34" borderId="79" xfId="0" applyNumberFormat="1" applyFont="1" applyFill="1" applyBorder="1" applyAlignment="1">
      <alignment horizontal="right"/>
    </xf>
    <xf numFmtId="169" fontId="46" fillId="6" borderId="60" xfId="0" applyNumberFormat="1" applyFont="1" applyFill="1" applyBorder="1" applyAlignment="1">
      <alignment horizontal="right"/>
    </xf>
    <xf numFmtId="0" fontId="52" fillId="0" borderId="75" xfId="0" applyFont="1" applyBorder="1"/>
    <xf numFmtId="0" fontId="52" fillId="0" borderId="0" xfId="0" applyFont="1"/>
    <xf numFmtId="0" fontId="49" fillId="0" borderId="0" xfId="0" applyFont="1" applyAlignment="1">
      <alignment horizontal="right"/>
    </xf>
    <xf numFmtId="0" fontId="49" fillId="0" borderId="55" xfId="0" applyFont="1" applyBorder="1"/>
    <xf numFmtId="0" fontId="49" fillId="0" borderId="56" xfId="0" applyFont="1" applyBorder="1"/>
    <xf numFmtId="0" fontId="52" fillId="0" borderId="58" xfId="0" applyFont="1" applyBorder="1"/>
    <xf numFmtId="0" fontId="49" fillId="0" borderId="59" xfId="0" applyFont="1" applyBorder="1"/>
    <xf numFmtId="0" fontId="49" fillId="0" borderId="59" xfId="0" applyFont="1" applyBorder="1" applyAlignment="1">
      <alignment horizontal="right"/>
    </xf>
    <xf numFmtId="0" fontId="49" fillId="0" borderId="60" xfId="0" applyFont="1" applyBorder="1"/>
    <xf numFmtId="0" fontId="17" fillId="0" borderId="0" xfId="0" applyFont="1"/>
    <xf numFmtId="0" fontId="18" fillId="0" borderId="0" xfId="0" applyFont="1"/>
    <xf numFmtId="0" fontId="6" fillId="0" borderId="0" xfId="0" applyFont="1"/>
    <xf numFmtId="0" fontId="20" fillId="0" borderId="0" xfId="0" applyFont="1"/>
    <xf numFmtId="0" fontId="66" fillId="5" borderId="66" xfId="0" applyFont="1" applyFill="1" applyBorder="1" applyAlignment="1" applyProtection="1">
      <alignment horizontal="left"/>
      <protection locked="0"/>
    </xf>
    <xf numFmtId="0" fontId="66" fillId="5" borderId="83" xfId="0" applyFont="1" applyFill="1" applyBorder="1" applyAlignment="1" applyProtection="1">
      <alignment horizontal="left"/>
      <protection locked="0"/>
    </xf>
    <xf numFmtId="0" fontId="49" fillId="0" borderId="0" xfId="39" applyFont="1"/>
    <xf numFmtId="3" fontId="49" fillId="0" borderId="0" xfId="39" applyNumberFormat="1" applyFont="1"/>
    <xf numFmtId="0" fontId="53" fillId="39" borderId="8" xfId="39" applyFont="1" applyFill="1" applyBorder="1" applyAlignment="1">
      <alignment horizontal="center"/>
    </xf>
    <xf numFmtId="0" fontId="53" fillId="39" borderId="12" xfId="39" applyFont="1" applyFill="1" applyBorder="1" applyAlignment="1">
      <alignment horizontal="left"/>
    </xf>
    <xf numFmtId="0" fontId="53" fillId="39" borderId="24" xfId="39" applyFont="1" applyFill="1" applyBorder="1" applyAlignment="1">
      <alignment horizontal="center"/>
    </xf>
    <xf numFmtId="0" fontId="53" fillId="39" borderId="10" xfId="39" applyFont="1" applyFill="1" applyBorder="1" applyAlignment="1">
      <alignment horizontal="left"/>
    </xf>
    <xf numFmtId="0" fontId="53" fillId="39" borderId="33" xfId="39" applyFont="1" applyFill="1" applyBorder="1" applyAlignment="1">
      <alignment horizontal="center"/>
    </xf>
    <xf numFmtId="0" fontId="51" fillId="39" borderId="155" xfId="39" applyFont="1" applyFill="1" applyBorder="1" applyAlignment="1">
      <alignment horizontal="left"/>
    </xf>
    <xf numFmtId="3" fontId="50" fillId="0" borderId="1" xfId="39" applyNumberFormat="1" applyFont="1" applyBorder="1"/>
    <xf numFmtId="16" fontId="69" fillId="6" borderId="13" xfId="39" applyNumberFormat="1" applyFont="1" applyFill="1" applyBorder="1"/>
    <xf numFmtId="0" fontId="46" fillId="6" borderId="156" xfId="39" applyFont="1" applyFill="1" applyBorder="1"/>
    <xf numFmtId="3" fontId="46" fillId="6" borderId="13" xfId="39" applyNumberFormat="1" applyFont="1" applyFill="1" applyBorder="1"/>
    <xf numFmtId="3" fontId="46" fillId="6" borderId="156" xfId="39" applyNumberFormat="1" applyFont="1" applyFill="1" applyBorder="1"/>
    <xf numFmtId="3" fontId="46" fillId="6" borderId="155" xfId="39" applyNumberFormat="1" applyFont="1" applyFill="1" applyBorder="1"/>
    <xf numFmtId="16" fontId="69" fillId="0" borderId="0" xfId="39" quotePrefix="1" applyNumberFormat="1" applyFont="1"/>
    <xf numFmtId="0" fontId="45" fillId="39" borderId="18" xfId="39" applyFont="1" applyFill="1" applyBorder="1" applyAlignment="1">
      <alignment horizontal="left"/>
    </xf>
    <xf numFmtId="0" fontId="51" fillId="39" borderId="156" xfId="39" applyFont="1" applyFill="1" applyBorder="1" applyAlignment="1">
      <alignment horizontal="left"/>
    </xf>
    <xf numFmtId="0" fontId="49" fillId="0" borderId="1" xfId="39" applyFont="1" applyBorder="1"/>
    <xf numFmtId="16" fontId="69" fillId="0" borderId="0" xfId="39" applyNumberFormat="1" applyFont="1"/>
    <xf numFmtId="0" fontId="50" fillId="0" borderId="0" xfId="39" applyFont="1"/>
    <xf numFmtId="3" fontId="50" fillId="0" borderId="0" xfId="39" applyNumberFormat="1" applyFont="1"/>
    <xf numFmtId="0" fontId="53" fillId="7" borderId="24" xfId="39" applyFont="1" applyFill="1" applyBorder="1" applyAlignment="1">
      <alignment horizontal="center"/>
    </xf>
    <xf numFmtId="0" fontId="45" fillId="7" borderId="10" xfId="39" applyFont="1" applyFill="1" applyBorder="1" applyAlignment="1">
      <alignment horizontal="left"/>
    </xf>
    <xf numFmtId="0" fontId="53" fillId="7" borderId="33" xfId="39" applyFont="1" applyFill="1" applyBorder="1" applyAlignment="1">
      <alignment horizontal="center"/>
    </xf>
    <xf numFmtId="0" fontId="51" fillId="7" borderId="155" xfId="39" applyFont="1" applyFill="1" applyBorder="1" applyAlignment="1">
      <alignment horizontal="left"/>
    </xf>
    <xf numFmtId="0" fontId="46" fillId="0" borderId="0" xfId="39" applyFont="1" applyAlignment="1">
      <alignment vertical="center"/>
    </xf>
    <xf numFmtId="0" fontId="69" fillId="34" borderId="0" xfId="39" applyFont="1" applyFill="1"/>
    <xf numFmtId="179" fontId="51" fillId="34" borderId="0" xfId="332" applyNumberFormat="1" applyFont="1" applyFill="1"/>
    <xf numFmtId="0" fontId="46" fillId="0" borderId="1" xfId="39" applyFont="1" applyBorder="1" applyAlignment="1">
      <alignment vertical="center"/>
    </xf>
    <xf numFmtId="16" fontId="69" fillId="37" borderId="13" xfId="39" applyNumberFormat="1" applyFont="1" applyFill="1" applyBorder="1"/>
    <xf numFmtId="0" fontId="46" fillId="37" borderId="156" xfId="39" applyFont="1" applyFill="1" applyBorder="1"/>
    <xf numFmtId="3" fontId="46" fillId="37" borderId="13" xfId="39" applyNumberFormat="1" applyFont="1" applyFill="1" applyBorder="1"/>
    <xf numFmtId="3" fontId="46" fillId="37" borderId="156" xfId="39" applyNumberFormat="1" applyFont="1" applyFill="1" applyBorder="1"/>
    <xf numFmtId="3" fontId="46" fillId="37" borderId="155" xfId="39" applyNumberFormat="1" applyFont="1" applyFill="1" applyBorder="1"/>
    <xf numFmtId="0" fontId="45" fillId="7" borderId="18" xfId="39" applyFont="1" applyFill="1" applyBorder="1" applyAlignment="1">
      <alignment horizontal="left"/>
    </xf>
    <xf numFmtId="0" fontId="51" fillId="7" borderId="156" xfId="39" applyFont="1" applyFill="1" applyBorder="1" applyAlignment="1">
      <alignment horizontal="left"/>
    </xf>
    <xf numFmtId="16" fontId="49" fillId="37" borderId="13" xfId="39" applyNumberFormat="1" applyFont="1" applyFill="1" applyBorder="1"/>
    <xf numFmtId="0" fontId="53" fillId="41" borderId="24" xfId="0" applyFont="1" applyFill="1" applyBorder="1" applyAlignment="1">
      <alignment horizontal="center"/>
    </xf>
    <xf numFmtId="0" fontId="45" fillId="41" borderId="18" xfId="0" applyFont="1" applyFill="1" applyBorder="1" applyAlignment="1">
      <alignment horizontal="left"/>
    </xf>
    <xf numFmtId="0" fontId="53" fillId="41" borderId="34" xfId="0" applyFont="1" applyFill="1" applyBorder="1" applyAlignment="1">
      <alignment horizontal="center"/>
    </xf>
    <xf numFmtId="0" fontId="51" fillId="41" borderId="176" xfId="0" applyFont="1" applyFill="1" applyBorder="1" applyAlignment="1">
      <alignment horizontal="left"/>
    </xf>
    <xf numFmtId="0" fontId="69" fillId="34" borderId="4" xfId="0" applyFont="1" applyFill="1" applyBorder="1"/>
    <xf numFmtId="179" fontId="47" fillId="34" borderId="5" xfId="0" applyNumberFormat="1" applyFont="1" applyFill="1" applyBorder="1"/>
    <xf numFmtId="3" fontId="47" fillId="32" borderId="26" xfId="0" applyNumberFormat="1" applyFont="1" applyFill="1" applyBorder="1"/>
    <xf numFmtId="3" fontId="47" fillId="32" borderId="5" xfId="0" applyNumberFormat="1" applyFont="1" applyFill="1" applyBorder="1"/>
    <xf numFmtId="3" fontId="47" fillId="32" borderId="6" xfId="0" applyNumberFormat="1" applyFont="1" applyFill="1" applyBorder="1"/>
    <xf numFmtId="16" fontId="69" fillId="34" borderId="1" xfId="0" quotePrefix="1" applyNumberFormat="1" applyFont="1" applyFill="1" applyBorder="1"/>
    <xf numFmtId="179" fontId="47" fillId="34" borderId="0" xfId="0" applyNumberFormat="1" applyFont="1" applyFill="1"/>
    <xf numFmtId="3" fontId="47" fillId="32" borderId="2" xfId="0" applyNumberFormat="1" applyFont="1" applyFill="1" applyBorder="1"/>
    <xf numFmtId="3" fontId="47" fillId="32" borderId="0" xfId="0" applyNumberFormat="1" applyFont="1" applyFill="1"/>
    <xf numFmtId="3" fontId="47" fillId="32" borderId="7" xfId="0" applyNumberFormat="1" applyFont="1" applyFill="1" applyBorder="1"/>
    <xf numFmtId="3" fontId="47" fillId="32" borderId="146" xfId="0" applyNumberFormat="1" applyFont="1" applyFill="1" applyBorder="1"/>
    <xf numFmtId="3" fontId="47" fillId="32" borderId="139" xfId="0" applyNumberFormat="1" applyFont="1" applyFill="1" applyBorder="1"/>
    <xf numFmtId="3" fontId="47" fillId="32" borderId="136" xfId="0" applyNumberFormat="1" applyFont="1" applyFill="1" applyBorder="1"/>
    <xf numFmtId="16" fontId="69" fillId="30" borderId="13" xfId="0" applyNumberFormat="1" applyFont="1" applyFill="1" applyBorder="1"/>
    <xf numFmtId="0" fontId="46" fillId="30" borderId="156" xfId="0" applyFont="1" applyFill="1" applyBorder="1"/>
    <xf numFmtId="3" fontId="46" fillId="30" borderId="127" xfId="0" applyNumberFormat="1" applyFont="1" applyFill="1" applyBorder="1"/>
    <xf numFmtId="3" fontId="46" fillId="30" borderId="128" xfId="0" applyNumberFormat="1" applyFont="1" applyFill="1" applyBorder="1"/>
    <xf numFmtId="16" fontId="69" fillId="0" borderId="0" xfId="0" quotePrefix="1" applyNumberFormat="1" applyFont="1"/>
    <xf numFmtId="3" fontId="49" fillId="0" borderId="127" xfId="0" applyNumberFormat="1" applyFont="1" applyBorder="1"/>
    <xf numFmtId="0" fontId="53" fillId="39" borderId="24" xfId="0" applyFont="1" applyFill="1" applyBorder="1" applyAlignment="1">
      <alignment horizontal="center"/>
    </xf>
    <xf numFmtId="0" fontId="45" fillId="39" borderId="18" xfId="0" applyFont="1" applyFill="1" applyBorder="1" applyAlignment="1">
      <alignment horizontal="left"/>
    </xf>
    <xf numFmtId="0" fontId="54" fillId="39" borderId="10" xfId="0" applyFont="1" applyFill="1" applyBorder="1"/>
    <xf numFmtId="0" fontId="53" fillId="39" borderId="33" xfId="0" applyFont="1" applyFill="1" applyBorder="1" applyAlignment="1">
      <alignment horizontal="center"/>
    </xf>
    <xf numFmtId="0" fontId="51" fillId="39" borderId="156" xfId="0" applyFont="1" applyFill="1" applyBorder="1" applyAlignment="1">
      <alignment horizontal="left"/>
    </xf>
    <xf numFmtId="0" fontId="46" fillId="39" borderId="16" xfId="0" applyFont="1" applyFill="1" applyBorder="1" applyAlignment="1">
      <alignment horizontal="center"/>
    </xf>
    <xf numFmtId="0" fontId="49" fillId="34" borderId="1" xfId="0" applyFont="1" applyFill="1" applyBorder="1"/>
    <xf numFmtId="3" fontId="46" fillId="32" borderId="14" xfId="0" applyNumberFormat="1" applyFont="1" applyFill="1" applyBorder="1"/>
    <xf numFmtId="16" fontId="49" fillId="34" borderId="1" xfId="0" quotePrefix="1" applyNumberFormat="1" applyFont="1" applyFill="1" applyBorder="1"/>
    <xf numFmtId="3" fontId="46" fillId="32" borderId="15" xfId="0" applyNumberFormat="1" applyFont="1" applyFill="1" applyBorder="1"/>
    <xf numFmtId="16" fontId="49" fillId="6" borderId="13" xfId="0" applyNumberFormat="1" applyFont="1" applyFill="1" applyBorder="1"/>
    <xf numFmtId="0" fontId="46" fillId="6" borderId="156" xfId="0" applyFont="1" applyFill="1" applyBorder="1"/>
    <xf numFmtId="3" fontId="46" fillId="6" borderId="16" xfId="0" applyNumberFormat="1" applyFont="1" applyFill="1" applyBorder="1"/>
    <xf numFmtId="3" fontId="46" fillId="6" borderId="13" xfId="0" applyNumberFormat="1" applyFont="1" applyFill="1" applyBorder="1"/>
    <xf numFmtId="3" fontId="46" fillId="6" borderId="156" xfId="0" applyNumberFormat="1" applyFont="1" applyFill="1" applyBorder="1"/>
    <xf numFmtId="3" fontId="46" fillId="6" borderId="155" xfId="0" applyNumberFormat="1" applyFont="1" applyFill="1" applyBorder="1"/>
    <xf numFmtId="16" fontId="49" fillId="0" borderId="0" xfId="0" quotePrefix="1" applyNumberFormat="1" applyFont="1"/>
    <xf numFmtId="3" fontId="49" fillId="0" borderId="0" xfId="0" applyNumberFormat="1" applyFont="1"/>
    <xf numFmtId="0" fontId="50" fillId="39" borderId="10" xfId="0" applyFont="1" applyFill="1" applyBorder="1" applyAlignment="1">
      <alignment horizontal="left"/>
    </xf>
    <xf numFmtId="0" fontId="50" fillId="39" borderId="128" xfId="0" applyFont="1" applyFill="1" applyBorder="1"/>
    <xf numFmtId="0" fontId="68" fillId="34" borderId="1" xfId="0" applyFont="1" applyFill="1" applyBorder="1"/>
    <xf numFmtId="0" fontId="47" fillId="34" borderId="6" xfId="0" applyFont="1" applyFill="1" applyBorder="1"/>
    <xf numFmtId="0" fontId="69" fillId="34" borderId="1" xfId="0" applyFont="1" applyFill="1" applyBorder="1"/>
    <xf numFmtId="0" fontId="47" fillId="34" borderId="7" xfId="0" applyFont="1" applyFill="1" applyBorder="1"/>
    <xf numFmtId="16" fontId="69" fillId="34" borderId="1" xfId="0" applyNumberFormat="1" applyFont="1" applyFill="1" applyBorder="1"/>
    <xf numFmtId="3" fontId="47" fillId="34" borderId="7" xfId="0" applyNumberFormat="1" applyFont="1" applyFill="1" applyBorder="1"/>
    <xf numFmtId="16" fontId="69" fillId="34" borderId="144" xfId="0" applyNumberFormat="1" applyFont="1" applyFill="1" applyBorder="1"/>
    <xf numFmtId="0" fontId="47" fillId="34" borderId="139" xfId="0" applyFont="1" applyFill="1" applyBorder="1"/>
    <xf numFmtId="3" fontId="47" fillId="34" borderId="136" xfId="0" applyNumberFormat="1" applyFont="1" applyFill="1" applyBorder="1"/>
    <xf numFmtId="16" fontId="69" fillId="6" borderId="129" xfId="0" applyNumberFormat="1" applyFont="1" applyFill="1" applyBorder="1"/>
    <xf numFmtId="0" fontId="46" fillId="6" borderId="127" xfId="0" applyFont="1" applyFill="1" applyBorder="1"/>
    <xf numFmtId="3" fontId="47" fillId="6" borderId="128" xfId="0" applyNumberFormat="1" applyFont="1" applyFill="1" applyBorder="1"/>
    <xf numFmtId="0" fontId="69" fillId="0" borderId="0" xfId="0" applyFont="1"/>
    <xf numFmtId="0" fontId="53" fillId="7" borderId="24" xfId="0" applyFont="1" applyFill="1" applyBorder="1" applyAlignment="1">
      <alignment horizontal="center"/>
    </xf>
    <xf numFmtId="0" fontId="45" fillId="7" borderId="18" xfId="0" applyFont="1" applyFill="1" applyBorder="1" applyAlignment="1">
      <alignment horizontal="left"/>
    </xf>
    <xf numFmtId="0" fontId="54" fillId="7" borderId="10" xfId="0" applyFont="1" applyFill="1" applyBorder="1"/>
    <xf numFmtId="0" fontId="53" fillId="7" borderId="33" xfId="0" applyFont="1" applyFill="1" applyBorder="1" applyAlignment="1">
      <alignment horizontal="center"/>
    </xf>
    <xf numFmtId="0" fontId="51" fillId="7" borderId="156" xfId="0" applyFont="1" applyFill="1" applyBorder="1" applyAlignment="1">
      <alignment horizontal="left"/>
    </xf>
    <xf numFmtId="0" fontId="46" fillId="7" borderId="16" xfId="0" applyFont="1" applyFill="1" applyBorder="1" applyAlignment="1">
      <alignment horizontal="center"/>
    </xf>
    <xf numFmtId="16" fontId="69" fillId="36" borderId="13" xfId="0" applyNumberFormat="1" applyFont="1" applyFill="1" applyBorder="1"/>
    <xf numFmtId="0" fontId="46" fillId="36" borderId="156" xfId="0" applyFont="1" applyFill="1" applyBorder="1"/>
    <xf numFmtId="3" fontId="46" fillId="36" borderId="16" xfId="0" applyNumberFormat="1" applyFont="1" applyFill="1" applyBorder="1"/>
    <xf numFmtId="3" fontId="46" fillId="36" borderId="13" xfId="0" applyNumberFormat="1" applyFont="1" applyFill="1" applyBorder="1"/>
    <xf numFmtId="3" fontId="46" fillId="36" borderId="156" xfId="0" applyNumberFormat="1" applyFont="1" applyFill="1" applyBorder="1"/>
    <xf numFmtId="3" fontId="46" fillId="36" borderId="155" xfId="0" applyNumberFormat="1" applyFont="1" applyFill="1" applyBorder="1"/>
    <xf numFmtId="3" fontId="49" fillId="0" borderId="7" xfId="0" applyNumberFormat="1" applyFont="1" applyBorder="1"/>
    <xf numFmtId="0" fontId="50" fillId="7" borderId="10" xfId="0" applyFont="1" applyFill="1" applyBorder="1" applyAlignment="1">
      <alignment horizontal="left"/>
    </xf>
    <xf numFmtId="0" fontId="50" fillId="7" borderId="128" xfId="0" applyFont="1" applyFill="1" applyBorder="1"/>
    <xf numFmtId="16" fontId="69" fillId="36" borderId="129" xfId="0" applyNumberFormat="1" applyFont="1" applyFill="1" applyBorder="1"/>
    <xf numFmtId="0" fontId="46" fillId="36" borderId="127" xfId="0" applyFont="1" applyFill="1" applyBorder="1"/>
    <xf numFmtId="3" fontId="47" fillId="36" borderId="128" xfId="0" applyNumberFormat="1" applyFont="1" applyFill="1" applyBorder="1"/>
    <xf numFmtId="16" fontId="69" fillId="0" borderId="0" xfId="0" applyNumberFormat="1" applyFont="1"/>
    <xf numFmtId="3" fontId="50" fillId="0" borderId="0" xfId="0" applyNumberFormat="1" applyFont="1"/>
    <xf numFmtId="0" fontId="45" fillId="41" borderId="10" xfId="0" applyFont="1" applyFill="1" applyBorder="1" applyAlignment="1">
      <alignment horizontal="left"/>
    </xf>
    <xf numFmtId="0" fontId="53" fillId="41" borderId="33" xfId="0" applyFont="1" applyFill="1" applyBorder="1" applyAlignment="1">
      <alignment horizontal="center"/>
    </xf>
    <xf numFmtId="0" fontId="51" fillId="41" borderId="156" xfId="0" applyFont="1" applyFill="1" applyBorder="1" applyAlignment="1">
      <alignment horizontal="left"/>
    </xf>
    <xf numFmtId="0" fontId="46" fillId="41" borderId="16" xfId="0" applyFont="1" applyFill="1" applyBorder="1" applyAlignment="1">
      <alignment horizontal="center"/>
    </xf>
    <xf numFmtId="3" fontId="47" fillId="32" borderId="4" xfId="0" applyNumberFormat="1" applyFont="1" applyFill="1" applyBorder="1"/>
    <xf numFmtId="3" fontId="47" fillId="32" borderId="1" xfId="0" applyNumberFormat="1" applyFont="1" applyFill="1" applyBorder="1"/>
    <xf numFmtId="3" fontId="46" fillId="30" borderId="16" xfId="0" applyNumberFormat="1" applyFont="1" applyFill="1" applyBorder="1"/>
    <xf numFmtId="3" fontId="46" fillId="30" borderId="13" xfId="0" applyNumberFormat="1" applyFont="1" applyFill="1" applyBorder="1"/>
    <xf numFmtId="3" fontId="46" fillId="30" borderId="156" xfId="0" applyNumberFormat="1" applyFont="1" applyFill="1" applyBorder="1"/>
    <xf numFmtId="3" fontId="46" fillId="30" borderId="155" xfId="0" applyNumberFormat="1" applyFont="1" applyFill="1" applyBorder="1"/>
    <xf numFmtId="3" fontId="49" fillId="0" borderId="11" xfId="0" applyNumberFormat="1" applyFont="1" applyBorder="1"/>
    <xf numFmtId="0" fontId="50" fillId="41" borderId="128" xfId="0" applyFont="1" applyFill="1" applyBorder="1"/>
    <xf numFmtId="16" fontId="49" fillId="34" borderId="1" xfId="0" applyNumberFormat="1" applyFont="1" applyFill="1" applyBorder="1"/>
    <xf numFmtId="16" fontId="49" fillId="34" borderId="144" xfId="0" applyNumberFormat="1" applyFont="1" applyFill="1" applyBorder="1"/>
    <xf numFmtId="3" fontId="47" fillId="32" borderId="144" xfId="0" applyNumberFormat="1" applyFont="1" applyFill="1" applyBorder="1"/>
    <xf numFmtId="16" fontId="49" fillId="30" borderId="129" xfId="0" applyNumberFormat="1" applyFont="1" applyFill="1" applyBorder="1"/>
    <xf numFmtId="0" fontId="46" fillId="30" borderId="127" xfId="0" applyFont="1" applyFill="1" applyBorder="1"/>
    <xf numFmtId="3" fontId="47" fillId="30" borderId="128" xfId="0" applyNumberFormat="1" applyFont="1" applyFill="1" applyBorder="1"/>
    <xf numFmtId="3" fontId="46" fillId="30" borderId="129" xfId="0" applyNumberFormat="1" applyFont="1" applyFill="1" applyBorder="1"/>
    <xf numFmtId="16" fontId="49" fillId="0" borderId="0" xfId="0" applyNumberFormat="1" applyFont="1"/>
    <xf numFmtId="0" fontId="46" fillId="0" borderId="0" xfId="0" applyFont="1"/>
    <xf numFmtId="3" fontId="47" fillId="0" borderId="0" xfId="0" applyNumberFormat="1" applyFont="1"/>
    <xf numFmtId="0" fontId="47" fillId="32" borderId="9" xfId="0" applyFont="1" applyFill="1" applyBorder="1"/>
    <xf numFmtId="0" fontId="46" fillId="32" borderId="18" xfId="0" applyFont="1" applyFill="1" applyBorder="1"/>
    <xf numFmtId="3" fontId="46" fillId="6" borderId="21" xfId="0" applyNumberFormat="1" applyFont="1" applyFill="1" applyBorder="1"/>
    <xf numFmtId="0" fontId="47" fillId="32" borderId="19" xfId="0" applyFont="1" applyFill="1" applyBorder="1"/>
    <xf numFmtId="0" fontId="46" fillId="32" borderId="17" xfId="0" applyFont="1" applyFill="1" applyBorder="1"/>
    <xf numFmtId="3" fontId="46" fillId="36" borderId="159" xfId="0" applyNumberFormat="1" applyFont="1" applyFill="1" applyBorder="1"/>
    <xf numFmtId="0" fontId="47" fillId="32" borderId="129" xfId="0" applyFont="1" applyFill="1" applyBorder="1"/>
    <xf numFmtId="0" fontId="46" fillId="32" borderId="127" xfId="0" applyFont="1" applyFill="1" applyBorder="1"/>
    <xf numFmtId="3" fontId="46" fillId="30" borderId="131" xfId="0" applyNumberFormat="1" applyFont="1" applyFill="1" applyBorder="1"/>
    <xf numFmtId="0" fontId="53" fillId="39" borderId="18" xfId="39" applyFont="1" applyFill="1" applyBorder="1" applyAlignment="1">
      <alignment horizontal="left"/>
    </xf>
    <xf numFmtId="0" fontId="54" fillId="39" borderId="10" xfId="39" applyFont="1" applyFill="1" applyBorder="1"/>
    <xf numFmtId="0" fontId="46" fillId="39" borderId="16" xfId="39" applyFont="1" applyFill="1" applyBorder="1" applyAlignment="1">
      <alignment horizontal="center"/>
    </xf>
    <xf numFmtId="4" fontId="46" fillId="32" borderId="14" xfId="39" applyNumberFormat="1" applyFont="1" applyFill="1" applyBorder="1"/>
    <xf numFmtId="4" fontId="46" fillId="32" borderId="15" xfId="39" applyNumberFormat="1" applyFont="1" applyFill="1" applyBorder="1"/>
    <xf numFmtId="4" fontId="46" fillId="6" borderId="16" xfId="39" applyNumberFormat="1" applyFont="1" applyFill="1" applyBorder="1"/>
    <xf numFmtId="4" fontId="46" fillId="6" borderId="13" xfId="39" applyNumberFormat="1" applyFont="1" applyFill="1" applyBorder="1"/>
    <xf numFmtId="4" fontId="46" fillId="6" borderId="156" xfId="39" applyNumberFormat="1" applyFont="1" applyFill="1" applyBorder="1"/>
    <xf numFmtId="4" fontId="46" fillId="6" borderId="155" xfId="39" applyNumberFormat="1" applyFont="1" applyFill="1" applyBorder="1"/>
    <xf numFmtId="0" fontId="50" fillId="39" borderId="10" xfId="39" applyFont="1" applyFill="1" applyBorder="1" applyAlignment="1">
      <alignment horizontal="left"/>
    </xf>
    <xf numFmtId="0" fontId="50" fillId="39" borderId="128" xfId="39" applyFont="1" applyFill="1" applyBorder="1"/>
    <xf numFmtId="3" fontId="47" fillId="34" borderId="6" xfId="0" applyNumberFormat="1" applyFont="1" applyFill="1" applyBorder="1"/>
    <xf numFmtId="3" fontId="47" fillId="6" borderId="155" xfId="39" applyNumberFormat="1" applyFont="1" applyFill="1" applyBorder="1"/>
    <xf numFmtId="0" fontId="54" fillId="7" borderId="10" xfId="39" applyFont="1" applyFill="1" applyBorder="1"/>
    <xf numFmtId="0" fontId="46" fillId="7" borderId="16" xfId="39" applyFont="1" applyFill="1" applyBorder="1" applyAlignment="1">
      <alignment horizontal="center"/>
    </xf>
    <xf numFmtId="4" fontId="46" fillId="37" borderId="16" xfId="39" applyNumberFormat="1" applyFont="1" applyFill="1" applyBorder="1"/>
    <xf numFmtId="4" fontId="46" fillId="37" borderId="13" xfId="39" applyNumberFormat="1" applyFont="1" applyFill="1" applyBorder="1"/>
    <xf numFmtId="4" fontId="46" fillId="37" borderId="156" xfId="39" applyNumberFormat="1" applyFont="1" applyFill="1" applyBorder="1"/>
    <xf numFmtId="4" fontId="46" fillId="37" borderId="155" xfId="39" applyNumberFormat="1" applyFont="1" applyFill="1" applyBorder="1"/>
    <xf numFmtId="0" fontId="50" fillId="7" borderId="10" xfId="39" applyFont="1" applyFill="1" applyBorder="1" applyAlignment="1">
      <alignment horizontal="left"/>
    </xf>
    <xf numFmtId="0" fontId="50" fillId="7" borderId="128" xfId="39" applyFont="1" applyFill="1" applyBorder="1"/>
    <xf numFmtId="3" fontId="47" fillId="37" borderId="155" xfId="39" applyNumberFormat="1" applyFont="1" applyFill="1" applyBorder="1"/>
    <xf numFmtId="16" fontId="49" fillId="34" borderId="1" xfId="39" quotePrefix="1" applyNumberFormat="1" applyFont="1" applyFill="1" applyBorder="1"/>
    <xf numFmtId="0" fontId="47" fillId="34" borderId="0" xfId="39" applyFont="1" applyFill="1"/>
    <xf numFmtId="3" fontId="46" fillId="32" borderId="15" xfId="39" applyNumberFormat="1" applyFont="1" applyFill="1" applyBorder="1"/>
    <xf numFmtId="3" fontId="47" fillId="32" borderId="0" xfId="39" applyNumberFormat="1" applyFont="1" applyFill="1"/>
    <xf numFmtId="16" fontId="49" fillId="6" borderId="13" xfId="39" applyNumberFormat="1" applyFont="1" applyFill="1" applyBorder="1"/>
    <xf numFmtId="3" fontId="46" fillId="6" borderId="16" xfId="39" applyNumberFormat="1" applyFont="1" applyFill="1" applyBorder="1"/>
    <xf numFmtId="16" fontId="49" fillId="0" borderId="0" xfId="39" quotePrefix="1" applyNumberFormat="1" applyFont="1"/>
    <xf numFmtId="0" fontId="46" fillId="39" borderId="155" xfId="39" applyFont="1" applyFill="1" applyBorder="1" applyAlignment="1">
      <alignment horizontal="center"/>
    </xf>
    <xf numFmtId="3" fontId="46" fillId="34" borderId="7" xfId="39" applyNumberFormat="1" applyFont="1" applyFill="1" applyBorder="1"/>
    <xf numFmtId="16" fontId="49" fillId="0" borderId="0" xfId="39" applyNumberFormat="1" applyFont="1"/>
    <xf numFmtId="16" fontId="69" fillId="34" borderId="4" xfId="39" quotePrefix="1" applyNumberFormat="1" applyFont="1" applyFill="1" applyBorder="1"/>
    <xf numFmtId="0" fontId="47" fillId="34" borderId="5" xfId="39" applyFont="1" applyFill="1" applyBorder="1"/>
    <xf numFmtId="3" fontId="46" fillId="32" borderId="14" xfId="39" applyNumberFormat="1" applyFont="1" applyFill="1" applyBorder="1"/>
    <xf numFmtId="16" fontId="69" fillId="34" borderId="1" xfId="39" quotePrefix="1" applyNumberFormat="1" applyFont="1" applyFill="1" applyBorder="1"/>
    <xf numFmtId="16" fontId="69" fillId="34" borderId="144" xfId="39" quotePrefix="1" applyNumberFormat="1" applyFont="1" applyFill="1" applyBorder="1"/>
    <xf numFmtId="0" fontId="47" fillId="34" borderId="139" xfId="39" applyFont="1" applyFill="1" applyBorder="1"/>
    <xf numFmtId="3" fontId="46" fillId="32" borderId="143" xfId="39" applyNumberFormat="1" applyFont="1" applyFill="1" applyBorder="1"/>
    <xf numFmtId="16" fontId="69" fillId="36" borderId="129" xfId="39" applyNumberFormat="1" applyFont="1" applyFill="1" applyBorder="1"/>
    <xf numFmtId="0" fontId="46" fillId="36" borderId="127" xfId="39" applyFont="1" applyFill="1" applyBorder="1"/>
    <xf numFmtId="3" fontId="46" fillId="36" borderId="131" xfId="39" applyNumberFormat="1" applyFont="1" applyFill="1" applyBorder="1"/>
    <xf numFmtId="3" fontId="46" fillId="36" borderId="156" xfId="39" applyNumberFormat="1" applyFont="1" applyFill="1" applyBorder="1"/>
    <xf numFmtId="3" fontId="46" fillId="36" borderId="155" xfId="39" applyNumberFormat="1" applyFont="1" applyFill="1" applyBorder="1"/>
    <xf numFmtId="3" fontId="46" fillId="34" borderId="6" xfId="39" applyNumberFormat="1" applyFont="1" applyFill="1" applyBorder="1"/>
    <xf numFmtId="3" fontId="46" fillId="34" borderId="136" xfId="39" applyNumberFormat="1" applyFont="1" applyFill="1" applyBorder="1"/>
    <xf numFmtId="3" fontId="46" fillId="36" borderId="128" xfId="39" applyNumberFormat="1" applyFont="1" applyFill="1" applyBorder="1"/>
    <xf numFmtId="0" fontId="53" fillId="41" borderId="24" xfId="39" applyFont="1" applyFill="1" applyBorder="1" applyAlignment="1">
      <alignment horizontal="center"/>
    </xf>
    <xf numFmtId="0" fontId="45" fillId="41" borderId="18" xfId="39" applyFont="1" applyFill="1" applyBorder="1" applyAlignment="1">
      <alignment horizontal="left"/>
    </xf>
    <xf numFmtId="0" fontId="45" fillId="41" borderId="10" xfId="39" applyFont="1" applyFill="1" applyBorder="1" applyAlignment="1">
      <alignment horizontal="left"/>
    </xf>
    <xf numFmtId="0" fontId="53" fillId="41" borderId="33" xfId="39" applyFont="1" applyFill="1" applyBorder="1" applyAlignment="1">
      <alignment horizontal="center"/>
    </xf>
    <xf numFmtId="0" fontId="51" fillId="41" borderId="156" xfId="39" applyFont="1" applyFill="1" applyBorder="1" applyAlignment="1">
      <alignment horizontal="left"/>
    </xf>
    <xf numFmtId="0" fontId="46" fillId="41" borderId="16" xfId="39" applyFont="1" applyFill="1" applyBorder="1" applyAlignment="1">
      <alignment horizontal="center"/>
    </xf>
    <xf numFmtId="3" fontId="47" fillId="32" borderId="7" xfId="39" applyNumberFormat="1" applyFont="1" applyFill="1" applyBorder="1"/>
    <xf numFmtId="16" fontId="49" fillId="30" borderId="129" xfId="39" applyNumberFormat="1" applyFont="1" applyFill="1" applyBorder="1"/>
    <xf numFmtId="0" fontId="46" fillId="30" borderId="127" xfId="39" applyFont="1" applyFill="1" applyBorder="1"/>
    <xf numFmtId="3" fontId="46" fillId="30" borderId="128" xfId="39" applyNumberFormat="1" applyFont="1" applyFill="1" applyBorder="1"/>
    <xf numFmtId="3" fontId="46" fillId="30" borderId="127" xfId="39" applyNumberFormat="1" applyFont="1" applyFill="1" applyBorder="1"/>
    <xf numFmtId="0" fontId="45" fillId="41" borderId="24" xfId="39" applyFont="1" applyFill="1" applyBorder="1" applyAlignment="1">
      <alignment horizontal="center"/>
    </xf>
    <xf numFmtId="0" fontId="50" fillId="41" borderId="128" xfId="39" applyFont="1" applyFill="1" applyBorder="1"/>
    <xf numFmtId="3" fontId="47" fillId="30" borderId="128" xfId="39" applyNumberFormat="1" applyFont="1" applyFill="1" applyBorder="1"/>
    <xf numFmtId="0" fontId="46" fillId="0" borderId="0" xfId="39" applyFont="1"/>
    <xf numFmtId="3" fontId="47" fillId="0" borderId="0" xfId="39" applyNumberFormat="1" applyFont="1"/>
    <xf numFmtId="0" fontId="47" fillId="32" borderId="9" xfId="39" applyFont="1" applyFill="1" applyBorder="1"/>
    <xf numFmtId="0" fontId="46" fillId="32" borderId="18" xfId="39" applyFont="1" applyFill="1" applyBorder="1"/>
    <xf numFmtId="3" fontId="46" fillId="6" borderId="21" xfId="39" applyNumberFormat="1" applyFont="1" applyFill="1" applyBorder="1"/>
    <xf numFmtId="0" fontId="47" fillId="32" borderId="19" xfId="39" applyFont="1" applyFill="1" applyBorder="1"/>
    <xf numFmtId="0" fontId="46" fillId="32" borderId="17" xfId="39" applyFont="1" applyFill="1" applyBorder="1"/>
    <xf numFmtId="3" fontId="46" fillId="36" borderId="159" xfId="39" applyNumberFormat="1" applyFont="1" applyFill="1" applyBorder="1"/>
    <xf numFmtId="0" fontId="47" fillId="32" borderId="129" xfId="39" applyFont="1" applyFill="1" applyBorder="1"/>
    <xf numFmtId="0" fontId="46" fillId="32" borderId="127" xfId="39" applyFont="1" applyFill="1" applyBorder="1"/>
    <xf numFmtId="3" fontId="46" fillId="30" borderId="131" xfId="39" applyNumberFormat="1" applyFont="1" applyFill="1" applyBorder="1"/>
    <xf numFmtId="16" fontId="49" fillId="31" borderId="1" xfId="39" quotePrefix="1" applyNumberFormat="1" applyFont="1" applyFill="1" applyBorder="1" applyProtection="1">
      <protection locked="0"/>
    </xf>
    <xf numFmtId="0" fontId="47" fillId="31" borderId="0" xfId="39" applyFont="1" applyFill="1" applyProtection="1">
      <protection locked="0"/>
    </xf>
    <xf numFmtId="16" fontId="45" fillId="39" borderId="61" xfId="0" applyNumberFormat="1" applyFont="1" applyFill="1" applyBorder="1" applyAlignment="1">
      <alignment horizontal="center"/>
    </xf>
    <xf numFmtId="16" fontId="49" fillId="34" borderId="75" xfId="0" quotePrefix="1" applyNumberFormat="1" applyFont="1" applyFill="1" applyBorder="1"/>
    <xf numFmtId="0" fontId="51" fillId="34" borderId="0" xfId="0" applyFont="1" applyFill="1" applyAlignment="1">
      <alignment horizontal="left"/>
    </xf>
    <xf numFmtId="3" fontId="46" fillId="32" borderId="83" xfId="0" applyNumberFormat="1" applyFont="1" applyFill="1" applyBorder="1"/>
    <xf numFmtId="16" fontId="49" fillId="6" borderId="78" xfId="0" applyNumberFormat="1" applyFont="1" applyFill="1" applyBorder="1"/>
    <xf numFmtId="0" fontId="46" fillId="6" borderId="71" xfId="0" applyFont="1" applyFill="1" applyBorder="1"/>
    <xf numFmtId="3" fontId="46" fillId="6" borderId="72" xfId="0" applyNumberFormat="1" applyFont="1" applyFill="1" applyBorder="1"/>
    <xf numFmtId="3" fontId="46" fillId="6" borderId="78" xfId="0" applyNumberFormat="1" applyFont="1" applyFill="1" applyBorder="1"/>
    <xf numFmtId="3" fontId="46" fillId="6" borderId="71" xfId="0" applyNumberFormat="1" applyFont="1" applyFill="1" applyBorder="1"/>
    <xf numFmtId="3" fontId="46" fillId="6" borderId="79" xfId="0" applyNumberFormat="1" applyFont="1" applyFill="1" applyBorder="1"/>
    <xf numFmtId="4" fontId="49" fillId="0" borderId="0" xfId="0" applyNumberFormat="1" applyFont="1"/>
    <xf numFmtId="16" fontId="49" fillId="34" borderId="75" xfId="0" applyNumberFormat="1" applyFont="1" applyFill="1" applyBorder="1"/>
    <xf numFmtId="3" fontId="47" fillId="34" borderId="81" xfId="0" applyNumberFormat="1" applyFont="1" applyFill="1" applyBorder="1"/>
    <xf numFmtId="3" fontId="47" fillId="6" borderId="79" xfId="0" applyNumberFormat="1" applyFont="1" applyFill="1" applyBorder="1"/>
    <xf numFmtId="16" fontId="45" fillId="7" borderId="61" xfId="0" applyNumberFormat="1" applyFont="1" applyFill="1" applyBorder="1" applyAlignment="1">
      <alignment horizontal="center"/>
    </xf>
    <xf numFmtId="0" fontId="51" fillId="7" borderId="59" xfId="0" applyFont="1" applyFill="1" applyBorder="1" applyAlignment="1">
      <alignment horizontal="left"/>
    </xf>
    <xf numFmtId="0" fontId="46" fillId="7" borderId="67" xfId="0" applyFont="1" applyFill="1" applyBorder="1" applyAlignment="1">
      <alignment horizontal="center"/>
    </xf>
    <xf numFmtId="16" fontId="49" fillId="36" borderId="78" xfId="0" applyNumberFormat="1" applyFont="1" applyFill="1" applyBorder="1"/>
    <xf numFmtId="0" fontId="46" fillId="36" borderId="71" xfId="0" applyFont="1" applyFill="1" applyBorder="1"/>
    <xf numFmtId="3" fontId="46" fillId="36" borderId="72" xfId="0" applyNumberFormat="1" applyFont="1" applyFill="1" applyBorder="1"/>
    <xf numFmtId="3" fontId="46" fillId="36" borderId="78" xfId="0" applyNumberFormat="1" applyFont="1" applyFill="1" applyBorder="1"/>
    <xf numFmtId="3" fontId="46" fillId="36" borderId="71" xfId="0" applyNumberFormat="1" applyFont="1" applyFill="1" applyBorder="1"/>
    <xf numFmtId="3" fontId="46" fillId="36" borderId="79" xfId="0" applyNumberFormat="1" applyFont="1" applyFill="1" applyBorder="1"/>
    <xf numFmtId="3" fontId="47" fillId="36" borderId="79" xfId="0" applyNumberFormat="1" applyFont="1" applyFill="1" applyBorder="1"/>
    <xf numFmtId="16" fontId="45" fillId="41" borderId="61" xfId="0" applyNumberFormat="1" applyFont="1" applyFill="1" applyBorder="1" applyAlignment="1">
      <alignment horizontal="center"/>
    </xf>
    <xf numFmtId="0" fontId="45" fillId="41" borderId="63" xfId="0" applyFont="1" applyFill="1" applyBorder="1" applyAlignment="1">
      <alignment horizontal="left"/>
    </xf>
    <xf numFmtId="0" fontId="45" fillId="41" borderId="65" xfId="0" applyFont="1" applyFill="1" applyBorder="1" applyAlignment="1">
      <alignment horizontal="left"/>
    </xf>
    <xf numFmtId="0" fontId="53" fillId="41" borderId="62" xfId="0" applyFont="1" applyFill="1" applyBorder="1" applyAlignment="1">
      <alignment horizontal="center"/>
    </xf>
    <xf numFmtId="0" fontId="51" fillId="41" borderId="78" xfId="0" applyFont="1" applyFill="1" applyBorder="1" applyAlignment="1">
      <alignment horizontal="left"/>
    </xf>
    <xf numFmtId="0" fontId="46" fillId="41" borderId="72" xfId="0" applyFont="1" applyFill="1" applyBorder="1" applyAlignment="1">
      <alignment horizontal="center"/>
    </xf>
    <xf numFmtId="0" fontId="51" fillId="34" borderId="73" xfId="0" applyFont="1" applyFill="1" applyBorder="1" applyAlignment="1">
      <alignment horizontal="left"/>
    </xf>
    <xf numFmtId="0" fontId="47" fillId="34" borderId="55" xfId="0" applyFont="1" applyFill="1" applyBorder="1"/>
    <xf numFmtId="3" fontId="46" fillId="32" borderId="0" xfId="0" applyNumberFormat="1" applyFont="1" applyFill="1"/>
    <xf numFmtId="3" fontId="46" fillId="32" borderId="57" xfId="0" applyNumberFormat="1" applyFont="1" applyFill="1" applyBorder="1"/>
    <xf numFmtId="0" fontId="51" fillId="34" borderId="75" xfId="0" applyFont="1" applyFill="1" applyBorder="1" applyAlignment="1">
      <alignment horizontal="left"/>
    </xf>
    <xf numFmtId="16" fontId="49" fillId="30" borderId="78" xfId="0" applyNumberFormat="1" applyFont="1" applyFill="1" applyBorder="1"/>
    <xf numFmtId="0" fontId="46" fillId="30" borderId="71" xfId="0" applyFont="1" applyFill="1" applyBorder="1"/>
    <xf numFmtId="3" fontId="46" fillId="30" borderId="72" xfId="0" applyNumberFormat="1" applyFont="1" applyFill="1" applyBorder="1"/>
    <xf numFmtId="3" fontId="46" fillId="30" borderId="71" xfId="0" applyNumberFormat="1" applyFont="1" applyFill="1" applyBorder="1"/>
    <xf numFmtId="3" fontId="46" fillId="30" borderId="79" xfId="0" applyNumberFormat="1" applyFont="1" applyFill="1" applyBorder="1"/>
    <xf numFmtId="16" fontId="50" fillId="0" borderId="0" xfId="0" quotePrefix="1" applyNumberFormat="1" applyFont="1"/>
    <xf numFmtId="0" fontId="50" fillId="41" borderId="79" xfId="0" applyFont="1" applyFill="1" applyBorder="1"/>
    <xf numFmtId="0" fontId="50" fillId="34" borderId="56" xfId="0" applyFont="1" applyFill="1" applyBorder="1"/>
    <xf numFmtId="3" fontId="46" fillId="0" borderId="0" xfId="0" applyNumberFormat="1" applyFont="1"/>
    <xf numFmtId="3" fontId="46" fillId="0" borderId="57" xfId="0" applyNumberFormat="1" applyFont="1" applyBorder="1"/>
    <xf numFmtId="0" fontId="50" fillId="34" borderId="57" xfId="0" applyFont="1" applyFill="1" applyBorder="1"/>
    <xf numFmtId="3" fontId="47" fillId="30" borderId="79" xfId="0" applyNumberFormat="1" applyFont="1" applyFill="1" applyBorder="1"/>
    <xf numFmtId="0" fontId="47" fillId="32" borderId="63" xfId="0" applyFont="1" applyFill="1" applyBorder="1"/>
    <xf numFmtId="0" fontId="46" fillId="32" borderId="64" xfId="0" applyFont="1" applyFill="1" applyBorder="1"/>
    <xf numFmtId="3" fontId="46" fillId="6" borderId="108" xfId="0" applyNumberFormat="1" applyFont="1" applyFill="1" applyBorder="1"/>
    <xf numFmtId="0" fontId="47" fillId="32" borderId="76" xfId="0" applyFont="1" applyFill="1" applyBorder="1"/>
    <xf numFmtId="0" fontId="46" fillId="32" borderId="69" xfId="0" applyFont="1" applyFill="1" applyBorder="1"/>
    <xf numFmtId="3" fontId="46" fillId="36" borderId="70" xfId="0" applyNumberFormat="1" applyFont="1" applyFill="1" applyBorder="1"/>
    <xf numFmtId="0" fontId="47" fillId="32" borderId="78" xfId="0" applyFont="1" applyFill="1" applyBorder="1"/>
    <xf numFmtId="0" fontId="46" fillId="32" borderId="71" xfId="0" applyFont="1" applyFill="1" applyBorder="1"/>
    <xf numFmtId="0" fontId="47" fillId="0" borderId="0" xfId="0" applyFont="1"/>
    <xf numFmtId="49" fontId="45" fillId="39" borderId="4" xfId="0" applyNumberFormat="1" applyFont="1" applyFill="1" applyBorder="1" applyAlignment="1">
      <alignment horizontal="center"/>
    </xf>
    <xf numFmtId="0" fontId="45" fillId="39" borderId="9" xfId="0" applyFont="1" applyFill="1" applyBorder="1" applyAlignment="1">
      <alignment horizontal="left"/>
    </xf>
    <xf numFmtId="0" fontId="45" fillId="39" borderId="10" xfId="0" applyFont="1" applyFill="1" applyBorder="1" applyAlignment="1">
      <alignment horizontal="left"/>
    </xf>
    <xf numFmtId="0" fontId="53" fillId="39" borderId="129" xfId="0" applyFont="1" applyFill="1" applyBorder="1" applyAlignment="1">
      <alignment horizontal="center"/>
    </xf>
    <xf numFmtId="0" fontId="53" fillId="39" borderId="153" xfId="0" applyFont="1" applyFill="1" applyBorder="1" applyAlignment="1">
      <alignment horizontal="left"/>
    </xf>
    <xf numFmtId="0" fontId="46" fillId="39" borderId="130" xfId="0" applyFont="1" applyFill="1" applyBorder="1" applyAlignment="1">
      <alignment horizontal="center"/>
    </xf>
    <xf numFmtId="0" fontId="47" fillId="34" borderId="4" xfId="8" applyFont="1" applyFill="1" applyBorder="1"/>
    <xf numFmtId="0" fontId="47" fillId="34" borderId="51" xfId="8" applyFont="1" applyFill="1" applyBorder="1"/>
    <xf numFmtId="3" fontId="47" fillId="32" borderId="14" xfId="8" applyNumberFormat="1" applyFont="1" applyFill="1" applyBorder="1"/>
    <xf numFmtId="3" fontId="47" fillId="32" borderId="5" xfId="8" applyNumberFormat="1" applyFont="1" applyFill="1" applyBorder="1"/>
    <xf numFmtId="3" fontId="47" fillId="32" borderId="6" xfId="8" applyNumberFormat="1" applyFont="1" applyFill="1" applyBorder="1"/>
    <xf numFmtId="0" fontId="49" fillId="6" borderId="1" xfId="8" applyFont="1" applyFill="1" applyBorder="1"/>
    <xf numFmtId="0" fontId="46" fillId="6" borderId="3" xfId="8" applyFont="1" applyFill="1" applyBorder="1" applyAlignment="1">
      <alignment horizontal="left"/>
    </xf>
    <xf numFmtId="3" fontId="46" fillId="6" borderId="15" xfId="8" applyNumberFormat="1" applyFont="1" applyFill="1" applyBorder="1"/>
    <xf numFmtId="3" fontId="46" fillId="6" borderId="0" xfId="8" applyNumberFormat="1" applyFont="1" applyFill="1"/>
    <xf numFmtId="3" fontId="46" fillId="6" borderId="7" xfId="8" applyNumberFormat="1" applyFont="1" applyFill="1" applyBorder="1"/>
    <xf numFmtId="0" fontId="47" fillId="34" borderId="51" xfId="8" applyFont="1" applyFill="1" applyBorder="1" applyAlignment="1">
      <alignment wrapText="1"/>
    </xf>
    <xf numFmtId="3" fontId="47" fillId="32" borderId="4" xfId="8" applyNumberFormat="1" applyFont="1" applyFill="1" applyBorder="1"/>
    <xf numFmtId="0" fontId="47" fillId="34" borderId="1" xfId="8" applyFont="1" applyFill="1" applyBorder="1"/>
    <xf numFmtId="0" fontId="47" fillId="34" borderId="3" xfId="8" applyFont="1" applyFill="1" applyBorder="1" applyAlignment="1">
      <alignment wrapText="1"/>
    </xf>
    <xf numFmtId="3" fontId="47" fillId="32" borderId="15" xfId="8" applyNumberFormat="1" applyFont="1" applyFill="1" applyBorder="1"/>
    <xf numFmtId="3" fontId="47" fillId="32" borderId="1" xfId="8" applyNumberFormat="1" applyFont="1" applyFill="1" applyBorder="1"/>
    <xf numFmtId="3" fontId="47" fillId="32" borderId="0" xfId="8" applyNumberFormat="1" applyFont="1" applyFill="1"/>
    <xf numFmtId="3" fontId="47" fillId="32" borderId="7" xfId="8" applyNumberFormat="1" applyFont="1" applyFill="1" applyBorder="1"/>
    <xf numFmtId="0" fontId="47" fillId="34" borderId="3" xfId="8" applyFont="1" applyFill="1" applyBorder="1"/>
    <xf numFmtId="3" fontId="46" fillId="6" borderId="129" xfId="8" applyNumberFormat="1" applyFont="1" applyFill="1" applyBorder="1"/>
    <xf numFmtId="3" fontId="46" fillId="6" borderId="127" xfId="8" applyNumberFormat="1" applyFont="1" applyFill="1" applyBorder="1"/>
    <xf numFmtId="3" fontId="46" fillId="6" borderId="128" xfId="8" applyNumberFormat="1" applyFont="1" applyFill="1" applyBorder="1"/>
    <xf numFmtId="0" fontId="49" fillId="6" borderId="4" xfId="8" applyFont="1" applyFill="1" applyBorder="1"/>
    <xf numFmtId="0" fontId="46" fillId="6" borderId="51" xfId="8" applyFont="1" applyFill="1" applyBorder="1" applyAlignment="1">
      <alignment horizontal="left"/>
    </xf>
    <xf numFmtId="3" fontId="46" fillId="6" borderId="5" xfId="8" applyNumberFormat="1" applyFont="1" applyFill="1" applyBorder="1"/>
    <xf numFmtId="3" fontId="46" fillId="6" borderId="4" xfId="8" applyNumberFormat="1" applyFont="1" applyFill="1" applyBorder="1"/>
    <xf numFmtId="3" fontId="46" fillId="6" borderId="6" xfId="8" applyNumberFormat="1" applyFont="1" applyFill="1" applyBorder="1"/>
    <xf numFmtId="0" fontId="47" fillId="34" borderId="1" xfId="8" quotePrefix="1" applyFont="1" applyFill="1" applyBorder="1"/>
    <xf numFmtId="3" fontId="47" fillId="0" borderId="1" xfId="8" applyNumberFormat="1" applyFont="1" applyBorder="1"/>
    <xf numFmtId="3" fontId="47" fillId="0" borderId="0" xfId="8" applyNumberFormat="1" applyFont="1"/>
    <xf numFmtId="3" fontId="47" fillId="0" borderId="7" xfId="8" applyNumberFormat="1" applyFont="1" applyBorder="1"/>
    <xf numFmtId="0" fontId="47" fillId="6" borderId="1" xfId="8" quotePrefix="1" applyFont="1" applyFill="1" applyBorder="1"/>
    <xf numFmtId="3" fontId="47" fillId="6" borderId="3" xfId="8" applyNumberFormat="1" applyFont="1" applyFill="1" applyBorder="1"/>
    <xf numFmtId="9" fontId="46" fillId="6" borderId="0" xfId="8" applyNumberFormat="1" applyFont="1" applyFill="1" applyAlignment="1">
      <alignment horizontal="center"/>
    </xf>
    <xf numFmtId="3" fontId="47" fillId="6" borderId="1" xfId="8" applyNumberFormat="1" applyFont="1" applyFill="1" applyBorder="1"/>
    <xf numFmtId="3" fontId="47" fillId="6" borderId="0" xfId="8" applyNumberFormat="1" applyFont="1" applyFill="1"/>
    <xf numFmtId="3" fontId="47" fillId="6" borderId="7" xfId="8" applyNumberFormat="1" applyFont="1" applyFill="1" applyBorder="1"/>
    <xf numFmtId="3" fontId="47" fillId="34" borderId="3" xfId="8" applyNumberFormat="1" applyFont="1" applyFill="1" applyBorder="1"/>
    <xf numFmtId="9" fontId="46" fillId="32" borderId="0" xfId="8" applyNumberFormat="1" applyFont="1" applyFill="1" applyAlignment="1">
      <alignment horizontal="center"/>
    </xf>
    <xf numFmtId="0" fontId="47" fillId="34" borderId="4" xfId="8" quotePrefix="1" applyFont="1" applyFill="1" applyBorder="1"/>
    <xf numFmtId="3" fontId="47" fillId="34" borderId="51" xfId="8" applyNumberFormat="1" applyFont="1" applyFill="1" applyBorder="1"/>
    <xf numFmtId="9" fontId="46" fillId="32" borderId="5" xfId="8" applyNumberFormat="1" applyFont="1" applyFill="1" applyBorder="1" applyAlignment="1">
      <alignment horizontal="center"/>
    </xf>
    <xf numFmtId="0" fontId="47" fillId="34" borderId="129" xfId="8" quotePrefix="1" applyFont="1" applyFill="1" applyBorder="1"/>
    <xf numFmtId="3" fontId="47" fillId="34" borderId="133" xfId="8" applyNumberFormat="1" applyFont="1" applyFill="1" applyBorder="1"/>
    <xf numFmtId="9" fontId="46" fillId="32" borderId="127" xfId="8" applyNumberFormat="1" applyFont="1" applyFill="1" applyBorder="1" applyAlignment="1">
      <alignment horizontal="center"/>
    </xf>
    <xf numFmtId="3" fontId="47" fillId="32" borderId="127" xfId="8" applyNumberFormat="1" applyFont="1" applyFill="1" applyBorder="1"/>
    <xf numFmtId="3" fontId="47" fillId="32" borderId="128" xfId="8" applyNumberFormat="1" applyFont="1" applyFill="1" applyBorder="1"/>
    <xf numFmtId="165" fontId="47" fillId="0" borderId="0" xfId="8" applyNumberFormat="1" applyFont="1"/>
    <xf numFmtId="0" fontId="95" fillId="32" borderId="0" xfId="0" applyFont="1" applyFill="1"/>
    <xf numFmtId="3" fontId="87" fillId="0" borderId="0" xfId="8" applyNumberFormat="1" applyFont="1"/>
    <xf numFmtId="49" fontId="45" fillId="39" borderId="24" xfId="0" applyNumberFormat="1" applyFont="1" applyFill="1" applyBorder="1" applyAlignment="1">
      <alignment horizontal="center"/>
    </xf>
    <xf numFmtId="0" fontId="46" fillId="39" borderId="10" xfId="0" applyFont="1" applyFill="1" applyBorder="1" applyAlignment="1">
      <alignment horizontal="left"/>
    </xf>
    <xf numFmtId="0" fontId="53" fillId="39" borderId="176" xfId="0" applyFont="1" applyFill="1" applyBorder="1" applyAlignment="1">
      <alignment horizontal="left"/>
    </xf>
    <xf numFmtId="0" fontId="47" fillId="34" borderId="5" xfId="8" quotePrefix="1" applyFont="1" applyFill="1" applyBorder="1"/>
    <xf numFmtId="4" fontId="47" fillId="34" borderId="6" xfId="8" applyNumberFormat="1" applyFont="1" applyFill="1" applyBorder="1"/>
    <xf numFmtId="0" fontId="46" fillId="6" borderId="0" xfId="8" applyFont="1" applyFill="1"/>
    <xf numFmtId="4" fontId="46" fillId="6" borderId="7" xfId="8" applyNumberFormat="1" applyFont="1" applyFill="1" applyBorder="1"/>
    <xf numFmtId="0" fontId="47" fillId="34" borderId="5" xfId="8" applyFont="1" applyFill="1" applyBorder="1" applyAlignment="1">
      <alignment wrapText="1"/>
    </xf>
    <xf numFmtId="0" fontId="47" fillId="34" borderId="0" xfId="8" applyFont="1" applyFill="1" applyAlignment="1">
      <alignment wrapText="1"/>
    </xf>
    <xf numFmtId="4" fontId="47" fillId="34" borderId="7" xfId="8" applyNumberFormat="1" applyFont="1" applyFill="1" applyBorder="1"/>
    <xf numFmtId="0" fontId="47" fillId="34" borderId="0" xfId="8" quotePrefix="1" applyFont="1" applyFill="1"/>
    <xf numFmtId="0" fontId="49" fillId="6" borderId="129" xfId="8" applyFont="1" applyFill="1" applyBorder="1"/>
    <xf numFmtId="0" fontId="46" fillId="6" borderId="127" xfId="8" applyFont="1" applyFill="1" applyBorder="1"/>
    <xf numFmtId="4" fontId="46" fillId="6" borderId="128" xfId="8" applyNumberFormat="1" applyFont="1" applyFill="1" applyBorder="1"/>
    <xf numFmtId="0" fontId="46" fillId="6" borderId="5" xfId="8" applyFont="1" applyFill="1" applyBorder="1"/>
    <xf numFmtId="4" fontId="46" fillId="6" borderId="6" xfId="8" applyNumberFormat="1" applyFont="1" applyFill="1" applyBorder="1" applyAlignment="1">
      <alignment horizontal="right"/>
    </xf>
    <xf numFmtId="3" fontId="46" fillId="6" borderId="0" xfId="8" applyNumberFormat="1" applyFont="1" applyFill="1" applyAlignment="1">
      <alignment horizontal="right"/>
    </xf>
    <xf numFmtId="3" fontId="46" fillId="6" borderId="7" xfId="8" applyNumberFormat="1" applyFont="1" applyFill="1" applyBorder="1" applyAlignment="1">
      <alignment horizontal="right"/>
    </xf>
    <xf numFmtId="0" fontId="47" fillId="34" borderId="0" xfId="8" applyFont="1" applyFill="1"/>
    <xf numFmtId="3" fontId="47" fillId="34" borderId="7" xfId="8" applyNumberFormat="1" applyFont="1" applyFill="1" applyBorder="1"/>
    <xf numFmtId="9" fontId="46" fillId="6" borderId="7" xfId="8" applyNumberFormat="1" applyFont="1" applyFill="1" applyBorder="1" applyAlignment="1">
      <alignment horizontal="center"/>
    </xf>
    <xf numFmtId="3" fontId="47" fillId="34" borderId="0" xfId="8" applyNumberFormat="1" applyFont="1" applyFill="1"/>
    <xf numFmtId="9" fontId="46" fillId="34" borderId="7" xfId="8" applyNumberFormat="1" applyFont="1" applyFill="1" applyBorder="1" applyAlignment="1">
      <alignment horizontal="center"/>
    </xf>
    <xf numFmtId="3" fontId="47" fillId="34" borderId="5" xfId="8" applyNumberFormat="1" applyFont="1" applyFill="1" applyBorder="1"/>
    <xf numFmtId="9" fontId="46" fillId="34" borderId="6" xfId="8" applyNumberFormat="1" applyFont="1" applyFill="1" applyBorder="1" applyAlignment="1">
      <alignment horizontal="center"/>
    </xf>
    <xf numFmtId="3" fontId="47" fillId="34" borderId="127" xfId="8" applyNumberFormat="1" applyFont="1" applyFill="1" applyBorder="1"/>
    <xf numFmtId="9" fontId="46" fillId="34" borderId="128" xfId="8" applyNumberFormat="1" applyFont="1" applyFill="1" applyBorder="1" applyAlignment="1">
      <alignment horizontal="center"/>
    </xf>
    <xf numFmtId="0" fontId="49" fillId="0" borderId="176" xfId="8" applyFont="1" applyBorder="1"/>
    <xf numFmtId="0" fontId="80" fillId="0" borderId="176" xfId="8" applyFont="1" applyBorder="1"/>
    <xf numFmtId="10" fontId="46" fillId="0" borderId="12" xfId="8" applyNumberFormat="1" applyFont="1" applyBorder="1" applyAlignment="1">
      <alignment horizontal="right"/>
    </xf>
    <xf numFmtId="0" fontId="80" fillId="0" borderId="0" xfId="8" applyFont="1"/>
    <xf numFmtId="0" fontId="107" fillId="0" borderId="0" xfId="8" applyFont="1"/>
    <xf numFmtId="10" fontId="46" fillId="0" borderId="6" xfId="8" applyNumberFormat="1" applyFont="1" applyBorder="1"/>
    <xf numFmtId="168" fontId="50" fillId="0" borderId="0" xfId="35" applyNumberFormat="1" applyFont="1" applyFill="1" applyBorder="1" applyAlignment="1" applyProtection="1"/>
    <xf numFmtId="168" fontId="72" fillId="0" borderId="0" xfId="35" applyNumberFormat="1" applyFont="1" applyFill="1" applyBorder="1" applyAlignment="1" applyProtection="1"/>
    <xf numFmtId="168" fontId="50" fillId="0" borderId="0" xfId="35" applyNumberFormat="1" applyFont="1" applyFill="1" applyBorder="1" applyAlignment="1" applyProtection="1">
      <alignment horizontal="center"/>
    </xf>
    <xf numFmtId="0" fontId="50" fillId="0" borderId="0" xfId="8" applyFont="1"/>
    <xf numFmtId="3" fontId="46" fillId="0" borderId="128" xfId="8" applyNumberFormat="1" applyFont="1" applyBorder="1"/>
    <xf numFmtId="3" fontId="50" fillId="0" borderId="0" xfId="35" applyNumberFormat="1" applyFont="1" applyFill="1" applyBorder="1" applyAlignment="1" applyProtection="1"/>
    <xf numFmtId="0" fontId="74" fillId="0" borderId="0" xfId="8" applyFont="1"/>
    <xf numFmtId="0" fontId="46" fillId="39" borderId="8" xfId="8" applyFont="1" applyFill="1" applyBorder="1" applyAlignment="1">
      <alignment horizontal="left"/>
    </xf>
    <xf numFmtId="0" fontId="46" fillId="39" borderId="11" xfId="8" applyFont="1" applyFill="1" applyBorder="1" applyAlignment="1">
      <alignment horizontal="left"/>
    </xf>
    <xf numFmtId="0" fontId="96" fillId="0" borderId="12" xfId="0" applyFont="1" applyBorder="1" applyAlignment="1">
      <alignment horizontal="center" vertical="center"/>
    </xf>
    <xf numFmtId="3" fontId="47" fillId="5" borderId="3" xfId="8" applyNumberFormat="1" applyFont="1" applyFill="1" applyBorder="1" applyProtection="1">
      <protection locked="0"/>
    </xf>
    <xf numFmtId="3" fontId="47" fillId="5" borderId="1" xfId="8" applyNumberFormat="1" applyFont="1" applyFill="1" applyBorder="1" applyProtection="1">
      <protection locked="0"/>
    </xf>
    <xf numFmtId="3" fontId="47" fillId="5" borderId="0" xfId="8" applyNumberFormat="1" applyFont="1" applyFill="1" applyProtection="1">
      <protection locked="0"/>
    </xf>
    <xf numFmtId="3" fontId="47" fillId="5" borderId="7" xfId="8" applyNumberFormat="1" applyFont="1" applyFill="1" applyBorder="1" applyProtection="1">
      <protection locked="0"/>
    </xf>
    <xf numFmtId="0" fontId="45" fillId="42" borderId="24" xfId="332" applyFont="1" applyFill="1" applyBorder="1" applyAlignment="1">
      <alignment horizontal="center"/>
    </xf>
    <xf numFmtId="0" fontId="45" fillId="42" borderId="18" xfId="332" applyFont="1" applyFill="1" applyBorder="1" applyAlignment="1">
      <alignment horizontal="left"/>
    </xf>
    <xf numFmtId="0" fontId="45" fillId="42" borderId="10" xfId="332" applyFont="1" applyFill="1" applyBorder="1" applyAlignment="1">
      <alignment horizontal="left"/>
    </xf>
    <xf numFmtId="0" fontId="53" fillId="42" borderId="33" xfId="332" applyFont="1" applyFill="1" applyBorder="1" applyAlignment="1">
      <alignment horizontal="center"/>
    </xf>
    <xf numFmtId="0" fontId="51" fillId="42" borderId="156" xfId="332" applyFont="1" applyFill="1" applyBorder="1" applyAlignment="1">
      <alignment horizontal="left"/>
    </xf>
    <xf numFmtId="0" fontId="51" fillId="42" borderId="176" xfId="332" applyFont="1" applyFill="1" applyBorder="1" applyAlignment="1">
      <alignment horizontal="left"/>
    </xf>
    <xf numFmtId="0" fontId="46" fillId="42" borderId="16" xfId="332" applyFont="1" applyFill="1" applyBorder="1" applyAlignment="1">
      <alignment horizontal="center"/>
    </xf>
    <xf numFmtId="0" fontId="46" fillId="34" borderId="1" xfId="332" applyFont="1" applyFill="1" applyBorder="1" applyAlignment="1">
      <alignment horizontal="center"/>
    </xf>
    <xf numFmtId="3" fontId="46" fillId="32" borderId="14" xfId="332" applyNumberFormat="1" applyFont="1" applyFill="1" applyBorder="1"/>
    <xf numFmtId="16" fontId="46" fillId="34" borderId="1" xfId="332" applyNumberFormat="1" applyFont="1" applyFill="1" applyBorder="1" applyAlignment="1">
      <alignment horizontal="center"/>
    </xf>
    <xf numFmtId="3" fontId="46" fillId="32" borderId="15" xfId="332" applyNumberFormat="1" applyFont="1" applyFill="1" applyBorder="1"/>
    <xf numFmtId="16" fontId="46" fillId="34" borderId="144" xfId="332" applyNumberFormat="1" applyFont="1" applyFill="1" applyBorder="1" applyAlignment="1">
      <alignment horizontal="center" vertical="center"/>
    </xf>
    <xf numFmtId="3" fontId="46" fillId="32" borderId="143" xfId="332" applyNumberFormat="1" applyFont="1" applyFill="1" applyBorder="1"/>
    <xf numFmtId="0" fontId="46" fillId="43" borderId="129" xfId="332" applyFont="1" applyFill="1" applyBorder="1" applyAlignment="1">
      <alignment horizontal="center"/>
    </xf>
    <xf numFmtId="0" fontId="46" fillId="43" borderId="127" xfId="332" applyFont="1" applyFill="1" applyBorder="1"/>
    <xf numFmtId="3" fontId="46" fillId="43" borderId="16" xfId="332" applyNumberFormat="1" applyFont="1" applyFill="1" applyBorder="1"/>
    <xf numFmtId="3" fontId="46" fillId="43" borderId="13" xfId="332" applyNumberFormat="1" applyFont="1" applyFill="1" applyBorder="1"/>
    <xf numFmtId="3" fontId="46" fillId="43" borderId="156" xfId="332" applyNumberFormat="1" applyFont="1" applyFill="1" applyBorder="1"/>
    <xf numFmtId="3" fontId="46" fillId="43" borderId="155" xfId="332" applyNumberFormat="1" applyFont="1" applyFill="1" applyBorder="1"/>
    <xf numFmtId="0" fontId="49" fillId="0" borderId="0" xfId="332" applyFont="1"/>
    <xf numFmtId="3" fontId="50" fillId="0" borderId="0" xfId="332" applyNumberFormat="1" applyFont="1"/>
    <xf numFmtId="3" fontId="49" fillId="0" borderId="0" xfId="332" applyNumberFormat="1" applyFont="1"/>
    <xf numFmtId="0" fontId="51" fillId="42" borderId="127" xfId="332" applyFont="1" applyFill="1" applyBorder="1" applyAlignment="1">
      <alignment horizontal="left"/>
    </xf>
    <xf numFmtId="0" fontId="50" fillId="42" borderId="128" xfId="332" applyFont="1" applyFill="1" applyBorder="1"/>
    <xf numFmtId="0" fontId="47" fillId="34" borderId="0" xfId="332" applyFont="1" applyFill="1"/>
    <xf numFmtId="0" fontId="47" fillId="34" borderId="6" xfId="332" applyFont="1" applyFill="1" applyBorder="1"/>
    <xf numFmtId="3" fontId="47" fillId="34" borderId="7" xfId="332" applyNumberFormat="1" applyFont="1" applyFill="1" applyBorder="1"/>
    <xf numFmtId="0" fontId="47" fillId="34" borderId="139" xfId="332" applyFont="1" applyFill="1" applyBorder="1"/>
    <xf numFmtId="3" fontId="47" fillId="34" borderId="136" xfId="332" applyNumberFormat="1" applyFont="1" applyFill="1" applyBorder="1"/>
    <xf numFmtId="3" fontId="47" fillId="43" borderId="127" xfId="332" applyNumberFormat="1" applyFont="1" applyFill="1" applyBorder="1"/>
    <xf numFmtId="16" fontId="46" fillId="0" borderId="0" xfId="332" applyNumberFormat="1" applyFont="1" applyAlignment="1">
      <alignment horizontal="center" vertical="center"/>
    </xf>
    <xf numFmtId="0" fontId="49" fillId="0" borderId="0" xfId="332" applyFont="1" applyAlignment="1">
      <alignment vertical="center"/>
    </xf>
    <xf numFmtId="0" fontId="45" fillId="7" borderId="24" xfId="332" applyFont="1" applyFill="1" applyBorder="1" applyAlignment="1">
      <alignment horizontal="center"/>
    </xf>
    <xf numFmtId="0" fontId="45" fillId="51" borderId="18" xfId="332" applyFont="1" applyFill="1" applyBorder="1" applyAlignment="1">
      <alignment horizontal="left"/>
    </xf>
    <xf numFmtId="0" fontId="45" fillId="7" borderId="18" xfId="332" applyFont="1" applyFill="1" applyBorder="1" applyAlignment="1">
      <alignment horizontal="left"/>
    </xf>
    <xf numFmtId="0" fontId="45" fillId="7" borderId="10" xfId="332" applyFont="1" applyFill="1" applyBorder="1" applyAlignment="1">
      <alignment horizontal="left"/>
    </xf>
    <xf numFmtId="0" fontId="53" fillId="7" borderId="33" xfId="332" applyFont="1" applyFill="1" applyBorder="1" applyAlignment="1">
      <alignment horizontal="center"/>
    </xf>
    <xf numFmtId="0" fontId="51" fillId="7" borderId="156" xfId="332" applyFont="1" applyFill="1" applyBorder="1" applyAlignment="1">
      <alignment horizontal="left"/>
    </xf>
    <xf numFmtId="0" fontId="46" fillId="7" borderId="16" xfId="332" applyFont="1" applyFill="1" applyBorder="1" applyAlignment="1">
      <alignment horizontal="center"/>
    </xf>
    <xf numFmtId="0" fontId="46" fillId="34" borderId="4" xfId="332" applyFont="1" applyFill="1" applyBorder="1" applyAlignment="1">
      <alignment horizontal="center"/>
    </xf>
    <xf numFmtId="0" fontId="47" fillId="34" borderId="5" xfId="332" applyFont="1" applyFill="1" applyBorder="1"/>
    <xf numFmtId="3" fontId="47" fillId="32" borderId="0" xfId="332" applyNumberFormat="1" applyFont="1" applyFill="1"/>
    <xf numFmtId="16" fontId="46" fillId="34" borderId="1" xfId="332" applyNumberFormat="1" applyFont="1" applyFill="1" applyBorder="1" applyAlignment="1">
      <alignment horizontal="center" vertical="center"/>
    </xf>
    <xf numFmtId="0" fontId="46" fillId="36" borderId="13" xfId="332" applyFont="1" applyFill="1" applyBorder="1" applyAlignment="1">
      <alignment horizontal="center"/>
    </xf>
    <xf numFmtId="0" fontId="46" fillId="36" borderId="156" xfId="332" applyFont="1" applyFill="1" applyBorder="1"/>
    <xf numFmtId="0" fontId="46" fillId="36" borderId="54" xfId="332" applyFont="1" applyFill="1" applyBorder="1"/>
    <xf numFmtId="3" fontId="46" fillId="36" borderId="13" xfId="332" applyNumberFormat="1" applyFont="1" applyFill="1" applyBorder="1"/>
    <xf numFmtId="3" fontId="46" fillId="36" borderId="156" xfId="332" applyNumberFormat="1" applyFont="1" applyFill="1" applyBorder="1"/>
    <xf numFmtId="3" fontId="46" fillId="36" borderId="155" xfId="332" applyNumberFormat="1" applyFont="1" applyFill="1" applyBorder="1"/>
    <xf numFmtId="0" fontId="51" fillId="7" borderId="127" xfId="332" applyFont="1" applyFill="1" applyBorder="1" applyAlignment="1">
      <alignment horizontal="left"/>
    </xf>
    <xf numFmtId="0" fontId="50" fillId="7" borderId="128" xfId="332" applyFont="1" applyFill="1" applyBorder="1"/>
    <xf numFmtId="0" fontId="46" fillId="7" borderId="129" xfId="332" applyFont="1" applyFill="1" applyBorder="1" applyAlignment="1">
      <alignment horizontal="center"/>
    </xf>
    <xf numFmtId="0" fontId="46" fillId="7" borderId="127" xfId="332" applyFont="1" applyFill="1" applyBorder="1"/>
    <xf numFmtId="3" fontId="47" fillId="7" borderId="127" xfId="332" applyNumberFormat="1" applyFont="1" applyFill="1" applyBorder="1"/>
    <xf numFmtId="3" fontId="46" fillId="7" borderId="13" xfId="332" applyNumberFormat="1" applyFont="1" applyFill="1" applyBorder="1"/>
    <xf numFmtId="3" fontId="46" fillId="7" borderId="156" xfId="332" applyNumberFormat="1" applyFont="1" applyFill="1" applyBorder="1"/>
    <xf numFmtId="3" fontId="46" fillId="7" borderId="155" xfId="332" applyNumberFormat="1" applyFont="1" applyFill="1" applyBorder="1"/>
    <xf numFmtId="0" fontId="45" fillId="41" borderId="24" xfId="332" applyFont="1" applyFill="1" applyBorder="1" applyAlignment="1">
      <alignment horizontal="center"/>
    </xf>
    <xf numFmtId="0" fontId="45" fillId="41" borderId="18" xfId="332" applyFont="1" applyFill="1" applyBorder="1" applyAlignment="1">
      <alignment horizontal="left"/>
    </xf>
    <xf numFmtId="0" fontId="53" fillId="41" borderId="33" xfId="332" applyFont="1" applyFill="1" applyBorder="1" applyAlignment="1">
      <alignment horizontal="center"/>
    </xf>
    <xf numFmtId="0" fontId="51" fillId="41" borderId="156" xfId="332" applyFont="1" applyFill="1" applyBorder="1" applyAlignment="1">
      <alignment horizontal="left"/>
    </xf>
    <xf numFmtId="0" fontId="46" fillId="41" borderId="16" xfId="332" applyFont="1" applyFill="1" applyBorder="1" applyAlignment="1">
      <alignment horizontal="center"/>
    </xf>
    <xf numFmtId="0" fontId="47" fillId="34" borderId="5" xfId="332" applyFont="1" applyFill="1" applyBorder="1" applyAlignment="1">
      <alignment horizontal="left"/>
    </xf>
    <xf numFmtId="0" fontId="47" fillId="34" borderId="0" xfId="332" applyFont="1" applyFill="1" applyAlignment="1">
      <alignment horizontal="right"/>
    </xf>
    <xf numFmtId="3" fontId="46" fillId="32" borderId="2" xfId="332" applyNumberFormat="1" applyFont="1" applyFill="1" applyBorder="1"/>
    <xf numFmtId="3" fontId="47" fillId="32" borderId="1" xfId="332" applyNumberFormat="1" applyFont="1" applyFill="1" applyBorder="1"/>
    <xf numFmtId="3" fontId="47" fillId="32" borderId="5" xfId="332" applyNumberFormat="1" applyFont="1" applyFill="1" applyBorder="1"/>
    <xf numFmtId="3" fontId="47" fillId="32" borderId="6" xfId="332" applyNumberFormat="1" applyFont="1" applyFill="1" applyBorder="1"/>
    <xf numFmtId="0" fontId="47" fillId="34" borderId="0" xfId="332" applyFont="1" applyFill="1" applyAlignment="1">
      <alignment horizontal="left"/>
    </xf>
    <xf numFmtId="3" fontId="47" fillId="32" borderId="7" xfId="332" applyNumberFormat="1" applyFont="1" applyFill="1" applyBorder="1"/>
    <xf numFmtId="3" fontId="47" fillId="32" borderId="144" xfId="332" applyNumberFormat="1" applyFont="1" applyFill="1" applyBorder="1"/>
    <xf numFmtId="3" fontId="47" fillId="32" borderId="139" xfId="332" applyNumberFormat="1" applyFont="1" applyFill="1" applyBorder="1"/>
    <xf numFmtId="3" fontId="47" fillId="32" borderId="136" xfId="332" applyNumberFormat="1" applyFont="1" applyFill="1" applyBorder="1"/>
    <xf numFmtId="0" fontId="46" fillId="30" borderId="129" xfId="332" applyFont="1" applyFill="1" applyBorder="1" applyAlignment="1">
      <alignment horizontal="center"/>
    </xf>
    <xf numFmtId="0" fontId="46" fillId="30" borderId="127" xfId="332" applyFont="1" applyFill="1" applyBorder="1"/>
    <xf numFmtId="3" fontId="46" fillId="30" borderId="16" xfId="332" applyNumberFormat="1" applyFont="1" applyFill="1" applyBorder="1"/>
    <xf numFmtId="3" fontId="46" fillId="30" borderId="129" xfId="332" applyNumberFormat="1" applyFont="1" applyFill="1" applyBorder="1"/>
    <xf numFmtId="3" fontId="46" fillId="30" borderId="127" xfId="332" applyNumberFormat="1" applyFont="1" applyFill="1" applyBorder="1"/>
    <xf numFmtId="3" fontId="46" fillId="30" borderId="128" xfId="332" applyNumberFormat="1" applyFont="1" applyFill="1" applyBorder="1"/>
    <xf numFmtId="0" fontId="51" fillId="41" borderId="13" xfId="332" applyFont="1" applyFill="1" applyBorder="1" applyAlignment="1">
      <alignment horizontal="left"/>
    </xf>
    <xf numFmtId="0" fontId="46" fillId="41" borderId="156" xfId="332" applyFont="1" applyFill="1" applyBorder="1" applyAlignment="1">
      <alignment horizontal="center"/>
    </xf>
    <xf numFmtId="0" fontId="47" fillId="0" borderId="8" xfId="332" applyFont="1" applyBorder="1"/>
    <xf numFmtId="0" fontId="46" fillId="0" borderId="12" xfId="332" applyFont="1" applyBorder="1" applyAlignment="1">
      <alignment horizontal="left"/>
    </xf>
    <xf numFmtId="3" fontId="46" fillId="30" borderId="12" xfId="332" applyNumberFormat="1" applyFont="1" applyFill="1" applyBorder="1"/>
    <xf numFmtId="0" fontId="45" fillId="0" borderId="0" xfId="332" applyFont="1" applyAlignment="1">
      <alignment horizontal="left" vertical="center"/>
    </xf>
    <xf numFmtId="0" fontId="46" fillId="2" borderId="4" xfId="332" applyFont="1" applyFill="1" applyBorder="1" applyAlignment="1">
      <alignment horizontal="center"/>
    </xf>
    <xf numFmtId="0" fontId="46" fillId="2" borderId="5" xfId="332" applyFont="1" applyFill="1" applyBorder="1" applyAlignment="1">
      <alignment horizontal="center"/>
    </xf>
    <xf numFmtId="0" fontId="46" fillId="2" borderId="6" xfId="332" applyFont="1" applyFill="1" applyBorder="1" applyAlignment="1">
      <alignment horizontal="center"/>
    </xf>
    <xf numFmtId="0" fontId="46" fillId="2" borderId="9" xfId="332" applyFont="1" applyFill="1" applyBorder="1" applyAlignment="1">
      <alignment horizontal="center"/>
    </xf>
    <xf numFmtId="0" fontId="76" fillId="0" borderId="8" xfId="332" applyFont="1" applyBorder="1" applyAlignment="1">
      <alignment horizontal="center"/>
    </xf>
    <xf numFmtId="0" fontId="76" fillId="0" borderId="11" xfId="332" applyFont="1" applyBorder="1" applyAlignment="1">
      <alignment horizontal="center"/>
    </xf>
    <xf numFmtId="1" fontId="76" fillId="0" borderId="11" xfId="332" applyNumberFormat="1" applyFont="1" applyBorder="1" applyAlignment="1">
      <alignment horizontal="center"/>
    </xf>
    <xf numFmtId="0" fontId="47" fillId="2" borderId="25" xfId="332" applyFont="1" applyFill="1" applyBorder="1" applyAlignment="1">
      <alignment horizontal="center"/>
    </xf>
    <xf numFmtId="0" fontId="51" fillId="32" borderId="20" xfId="332" applyFont="1" applyFill="1" applyBorder="1" applyAlignment="1">
      <alignment horizontal="center"/>
    </xf>
    <xf numFmtId="0" fontId="51" fillId="0" borderId="0" xfId="332" applyFont="1" applyAlignment="1">
      <alignment horizontal="center" wrapText="1"/>
    </xf>
    <xf numFmtId="0" fontId="47" fillId="2" borderId="30" xfId="332" applyFont="1" applyFill="1" applyBorder="1" applyAlignment="1">
      <alignment horizontal="center"/>
    </xf>
    <xf numFmtId="0" fontId="51" fillId="2" borderId="29" xfId="332" applyFont="1" applyFill="1" applyBorder="1" applyAlignment="1">
      <alignment horizontal="center" wrapText="1"/>
    </xf>
    <xf numFmtId="0" fontId="51" fillId="2" borderId="39" xfId="332" applyFont="1" applyFill="1" applyBorder="1" applyAlignment="1">
      <alignment horizontal="center" wrapText="1"/>
    </xf>
    <xf numFmtId="0" fontId="49" fillId="2" borderId="21" xfId="332" applyFont="1" applyFill="1" applyBorder="1" applyAlignment="1">
      <alignment horizontal="center"/>
    </xf>
    <xf numFmtId="0" fontId="47" fillId="34" borderId="176" xfId="332" applyFont="1" applyFill="1" applyBorder="1" applyAlignment="1">
      <alignment horizontal="center" vertical="center"/>
    </xf>
    <xf numFmtId="0" fontId="47" fillId="34" borderId="52" xfId="332" applyFont="1" applyFill="1" applyBorder="1"/>
    <xf numFmtId="2" fontId="47" fillId="0" borderId="175" xfId="332" applyNumberFormat="1" applyFont="1" applyBorder="1" applyAlignment="1">
      <alignment horizontal="center"/>
    </xf>
    <xf numFmtId="2" fontId="47" fillId="32" borderId="0" xfId="332" applyNumberFormat="1" applyFont="1" applyFill="1" applyAlignment="1">
      <alignment horizontal="center"/>
    </xf>
    <xf numFmtId="0" fontId="49" fillId="0" borderId="1" xfId="332" applyFont="1" applyBorder="1"/>
    <xf numFmtId="2" fontId="77" fillId="0" borderId="0" xfId="332" applyNumberFormat="1" applyFont="1" applyAlignment="1">
      <alignment horizontal="center"/>
    </xf>
    <xf numFmtId="9" fontId="51" fillId="32" borderId="134" xfId="35" applyFont="1" applyFill="1" applyBorder="1" applyAlignment="1" applyProtection="1">
      <alignment horizontal="center"/>
    </xf>
    <xf numFmtId="9" fontId="51" fillId="32" borderId="178" xfId="35" applyFont="1" applyFill="1" applyBorder="1" applyAlignment="1" applyProtection="1">
      <alignment horizontal="center"/>
    </xf>
    <xf numFmtId="9" fontId="51" fillId="32" borderId="130" xfId="35" applyFont="1" applyFill="1" applyBorder="1" applyAlignment="1" applyProtection="1">
      <alignment horizontal="center"/>
    </xf>
    <xf numFmtId="0" fontId="47" fillId="34" borderId="139" xfId="332" applyFont="1" applyFill="1" applyBorder="1" applyAlignment="1">
      <alignment horizontal="center" vertical="center"/>
    </xf>
    <xf numFmtId="9" fontId="51" fillId="32" borderId="40" xfId="35" applyFont="1" applyFill="1" applyBorder="1" applyAlignment="1" applyProtection="1">
      <alignment horizontal="center"/>
    </xf>
    <xf numFmtId="9" fontId="51" fillId="32" borderId="22" xfId="35" applyFont="1" applyFill="1" applyBorder="1" applyAlignment="1" applyProtection="1">
      <alignment horizontal="center"/>
    </xf>
    <xf numFmtId="9" fontId="51" fillId="32" borderId="15" xfId="35" applyFont="1" applyFill="1" applyBorder="1" applyAlignment="1" applyProtection="1">
      <alignment horizontal="center"/>
    </xf>
    <xf numFmtId="0" fontId="47" fillId="34" borderId="132" xfId="332" applyFont="1" applyFill="1" applyBorder="1" applyAlignment="1">
      <alignment horizontal="left" vertical="center"/>
    </xf>
    <xf numFmtId="168" fontId="51" fillId="32" borderId="22" xfId="35" applyNumberFormat="1" applyFont="1" applyFill="1" applyBorder="1" applyAlignment="1" applyProtection="1">
      <alignment horizontal="center"/>
    </xf>
    <xf numFmtId="0" fontId="47" fillId="34" borderId="146" xfId="332" applyFont="1" applyFill="1" applyBorder="1" applyAlignment="1">
      <alignment horizontal="left" vertical="center"/>
    </xf>
    <xf numFmtId="168" fontId="51" fillId="32" borderId="40" xfId="35" applyNumberFormat="1" applyFont="1" applyFill="1" applyBorder="1" applyAlignment="1" applyProtection="1">
      <alignment horizontal="center"/>
    </xf>
    <xf numFmtId="168" fontId="51" fillId="32" borderId="15" xfId="35" applyNumberFormat="1" applyFont="1" applyFill="1" applyBorder="1" applyAlignment="1" applyProtection="1">
      <alignment horizontal="center"/>
    </xf>
    <xf numFmtId="2" fontId="51" fillId="0" borderId="0" xfId="332" applyNumberFormat="1" applyFont="1" applyAlignment="1">
      <alignment horizontal="center"/>
    </xf>
    <xf numFmtId="0" fontId="47" fillId="34" borderId="2" xfId="332" applyFont="1" applyFill="1" applyBorder="1" applyAlignment="1">
      <alignment horizontal="left" vertical="center"/>
    </xf>
    <xf numFmtId="0" fontId="47" fillId="34" borderId="132" xfId="332" applyFont="1" applyFill="1" applyBorder="1"/>
    <xf numFmtId="2" fontId="47" fillId="0" borderId="140" xfId="332" applyNumberFormat="1" applyFont="1" applyBorder="1" applyAlignment="1">
      <alignment horizontal="center"/>
    </xf>
    <xf numFmtId="9" fontId="51" fillId="32" borderId="137" xfId="35" applyFont="1" applyFill="1" applyBorder="1" applyAlignment="1" applyProtection="1">
      <alignment horizontal="center"/>
    </xf>
    <xf numFmtId="168" fontId="51" fillId="32" borderId="142" xfId="35" applyNumberFormat="1" applyFont="1" applyFill="1" applyBorder="1" applyAlignment="1" applyProtection="1">
      <alignment horizontal="center"/>
    </xf>
    <xf numFmtId="9" fontId="51" fillId="32" borderId="142" xfId="35" applyFont="1" applyFill="1" applyBorder="1" applyAlignment="1" applyProtection="1">
      <alignment horizontal="center"/>
    </xf>
    <xf numFmtId="168" fontId="51" fillId="32" borderId="143" xfId="35" applyNumberFormat="1" applyFont="1" applyFill="1" applyBorder="1" applyAlignment="1" applyProtection="1">
      <alignment horizontal="center"/>
    </xf>
    <xf numFmtId="2" fontId="46" fillId="2" borderId="157" xfId="332" applyNumberFormat="1" applyFont="1" applyFill="1" applyBorder="1" applyAlignment="1">
      <alignment horizontal="center"/>
    </xf>
    <xf numFmtId="2" fontId="46" fillId="2" borderId="158" xfId="332" applyNumberFormat="1" applyFont="1" applyFill="1" applyBorder="1" applyAlignment="1">
      <alignment horizontal="center"/>
    </xf>
    <xf numFmtId="2" fontId="46" fillId="2" borderId="159" xfId="332" applyNumberFormat="1" applyFont="1" applyFill="1" applyBorder="1" applyAlignment="1">
      <alignment horizontal="center"/>
    </xf>
    <xf numFmtId="0" fontId="47" fillId="34" borderId="17" xfId="332" applyFont="1" applyFill="1" applyBorder="1"/>
    <xf numFmtId="2" fontId="46" fillId="2" borderId="27" xfId="332" applyNumberFormat="1" applyFont="1" applyFill="1" applyBorder="1" applyAlignment="1">
      <alignment horizontal="center"/>
    </xf>
    <xf numFmtId="2" fontId="46" fillId="2" borderId="28" xfId="332" applyNumberFormat="1" applyFont="1" applyFill="1" applyBorder="1" applyAlignment="1">
      <alignment horizontal="center"/>
    </xf>
    <xf numFmtId="2" fontId="46" fillId="2" borderId="16" xfId="332" applyNumberFormat="1" applyFont="1" applyFill="1" applyBorder="1" applyAlignment="1">
      <alignment horizontal="center"/>
    </xf>
    <xf numFmtId="0" fontId="47" fillId="34" borderId="0" xfId="332" applyFont="1" applyFill="1" applyAlignment="1">
      <alignment horizontal="center" vertical="center"/>
    </xf>
    <xf numFmtId="0" fontId="47" fillId="34" borderId="176" xfId="332" applyFont="1" applyFill="1" applyBorder="1"/>
    <xf numFmtId="0" fontId="47" fillId="34" borderId="159" xfId="332" applyFont="1" applyFill="1" applyBorder="1" applyAlignment="1">
      <alignment horizontal="left" wrapText="1"/>
    </xf>
    <xf numFmtId="2" fontId="47" fillId="0" borderId="175" xfId="332" applyNumberFormat="1" applyFont="1" applyBorder="1" applyAlignment="1">
      <alignment horizontal="center" vertical="center"/>
    </xf>
    <xf numFmtId="0" fontId="47" fillId="34" borderId="159" xfId="332" applyFont="1" applyFill="1" applyBorder="1" applyAlignment="1">
      <alignment horizontal="left"/>
    </xf>
    <xf numFmtId="2" fontId="47" fillId="0" borderId="140" xfId="332" applyNumberFormat="1" applyFont="1" applyBorder="1" applyAlignment="1">
      <alignment horizontal="center" vertical="center"/>
    </xf>
    <xf numFmtId="0" fontId="47" fillId="34" borderId="127" xfId="332" applyFont="1" applyFill="1" applyBorder="1" applyAlignment="1">
      <alignment horizontal="center" vertical="center"/>
    </xf>
    <xf numFmtId="0" fontId="47" fillId="34" borderId="16" xfId="332" applyFont="1" applyFill="1" applyBorder="1" applyAlignment="1">
      <alignment horizontal="left" wrapText="1"/>
    </xf>
    <xf numFmtId="2" fontId="47" fillId="0" borderId="53" xfId="332" applyNumberFormat="1" applyFont="1" applyBorder="1" applyAlignment="1">
      <alignment horizontal="center" vertical="center"/>
    </xf>
    <xf numFmtId="0" fontId="47" fillId="34" borderId="0" xfId="332" applyFont="1" applyFill="1" applyAlignment="1">
      <alignment horizontal="left" wrapText="1"/>
    </xf>
    <xf numFmtId="2" fontId="47" fillId="0" borderId="0" xfId="332" applyNumberFormat="1" applyFont="1" applyAlignment="1">
      <alignment horizontal="center" vertical="center"/>
    </xf>
    <xf numFmtId="185" fontId="47" fillId="3" borderId="0" xfId="332" applyNumberFormat="1" applyFont="1" applyFill="1" applyAlignment="1">
      <alignment horizontal="center"/>
    </xf>
    <xf numFmtId="0" fontId="47" fillId="0" borderId="0" xfId="332" applyFont="1"/>
    <xf numFmtId="0" fontId="45" fillId="44" borderId="24" xfId="332" applyFont="1" applyFill="1" applyBorder="1" applyAlignment="1">
      <alignment horizontal="center"/>
    </xf>
    <xf numFmtId="0" fontId="53" fillId="44" borderId="18" xfId="332" applyFont="1" applyFill="1" applyBorder="1" applyAlignment="1">
      <alignment horizontal="left"/>
    </xf>
    <xf numFmtId="0" fontId="54" fillId="44" borderId="10" xfId="332" applyFont="1" applyFill="1" applyBorder="1"/>
    <xf numFmtId="0" fontId="53" fillId="44" borderId="33" xfId="332" applyFont="1" applyFill="1" applyBorder="1" applyAlignment="1">
      <alignment horizontal="center"/>
    </xf>
    <xf numFmtId="0" fontId="51" fillId="44" borderId="156" xfId="332" applyFont="1" applyFill="1" applyBorder="1" applyAlignment="1">
      <alignment horizontal="left"/>
    </xf>
    <xf numFmtId="0" fontId="46" fillId="44" borderId="16" xfId="332" applyFont="1" applyFill="1" applyBorder="1" applyAlignment="1">
      <alignment horizontal="center"/>
    </xf>
    <xf numFmtId="0" fontId="49" fillId="34" borderId="9" xfId="332" applyFont="1" applyFill="1" applyBorder="1" applyAlignment="1">
      <alignment wrapText="1"/>
    </xf>
    <xf numFmtId="0" fontId="47" fillId="34" borderId="18" xfId="332" applyFont="1" applyFill="1" applyBorder="1"/>
    <xf numFmtId="169" fontId="47" fillId="34" borderId="14" xfId="332" applyNumberFormat="1" applyFont="1" applyFill="1" applyBorder="1" applyAlignment="1">
      <alignment horizontal="center"/>
    </xf>
    <xf numFmtId="3" fontId="49" fillId="4" borderId="9" xfId="332" applyNumberFormat="1" applyFont="1" applyFill="1" applyBorder="1" applyAlignment="1">
      <alignment horizontal="center"/>
    </xf>
    <xf numFmtId="10" fontId="68" fillId="32" borderId="18" xfId="35" applyNumberFormat="1" applyFont="1" applyFill="1" applyBorder="1" applyAlignment="1" applyProtection="1">
      <alignment horizontal="center"/>
    </xf>
    <xf numFmtId="0" fontId="49" fillId="34" borderId="4" xfId="332" applyFont="1" applyFill="1" applyBorder="1" applyAlignment="1">
      <alignment wrapText="1"/>
    </xf>
    <xf numFmtId="4" fontId="47" fillId="32" borderId="130" xfId="332" applyNumberFormat="1" applyFont="1" applyFill="1" applyBorder="1" applyAlignment="1">
      <alignment horizontal="center"/>
    </xf>
    <xf numFmtId="173" fontId="49" fillId="32" borderId="153" xfId="332" applyNumberFormat="1" applyFont="1" applyFill="1" applyBorder="1" applyAlignment="1">
      <alignment horizontal="center"/>
    </xf>
    <xf numFmtId="173" fontId="49" fillId="32" borderId="176" xfId="332" applyNumberFormat="1" applyFont="1" applyFill="1" applyBorder="1" applyAlignment="1">
      <alignment horizontal="center"/>
    </xf>
    <xf numFmtId="173" fontId="49" fillId="32" borderId="154" xfId="332" applyNumberFormat="1" applyFont="1" applyFill="1" applyBorder="1" applyAlignment="1">
      <alignment horizontal="center"/>
    </xf>
    <xf numFmtId="0" fontId="49" fillId="34" borderId="1" xfId="332" applyFont="1" applyFill="1" applyBorder="1" applyAlignment="1">
      <alignment wrapText="1"/>
    </xf>
    <xf numFmtId="4" fontId="47" fillId="32" borderId="15" xfId="332" applyNumberFormat="1" applyFont="1" applyFill="1" applyBorder="1" applyAlignment="1">
      <alignment horizontal="center"/>
    </xf>
    <xf numFmtId="173" fontId="49" fillId="32" borderId="1" xfId="332" applyNumberFormat="1" applyFont="1" applyFill="1" applyBorder="1" applyAlignment="1">
      <alignment horizontal="center"/>
    </xf>
    <xf numFmtId="173" fontId="49" fillId="32" borderId="0" xfId="332" applyNumberFormat="1" applyFont="1" applyFill="1" applyAlignment="1">
      <alignment horizontal="center"/>
    </xf>
    <xf numFmtId="173" fontId="49" fillId="32" borderId="7" xfId="332" applyNumberFormat="1" applyFont="1" applyFill="1" applyBorder="1" applyAlignment="1">
      <alignment horizontal="center"/>
    </xf>
    <xf numFmtId="0" fontId="49" fillId="34" borderId="191" xfId="332" applyFont="1" applyFill="1" applyBorder="1" applyAlignment="1">
      <alignment horizontal="center" wrapText="1"/>
    </xf>
    <xf numFmtId="0" fontId="47" fillId="34" borderId="127" xfId="332" applyFont="1" applyFill="1" applyBorder="1"/>
    <xf numFmtId="4" fontId="47" fillId="32" borderId="131" xfId="332" applyNumberFormat="1" applyFont="1" applyFill="1" applyBorder="1" applyAlignment="1">
      <alignment horizontal="center"/>
    </xf>
    <xf numFmtId="173" fontId="49" fillId="32" borderId="129" xfId="332" applyNumberFormat="1" applyFont="1" applyFill="1" applyBorder="1" applyAlignment="1">
      <alignment horizontal="center"/>
    </xf>
    <xf numFmtId="173" fontId="49" fillId="32" borderId="127" xfId="332" applyNumberFormat="1" applyFont="1" applyFill="1" applyBorder="1" applyAlignment="1">
      <alignment horizontal="center"/>
    </xf>
    <xf numFmtId="173" fontId="49" fillId="32" borderId="128" xfId="332" applyNumberFormat="1" applyFont="1" applyFill="1" applyBorder="1" applyAlignment="1">
      <alignment horizontal="center"/>
    </xf>
    <xf numFmtId="0" fontId="45" fillId="44" borderId="4" xfId="332" applyFont="1" applyFill="1" applyBorder="1" applyAlignment="1">
      <alignment horizontal="center"/>
    </xf>
    <xf numFmtId="0" fontId="45" fillId="44" borderId="9" xfId="332" applyFont="1" applyFill="1" applyBorder="1" applyAlignment="1">
      <alignment horizontal="left"/>
    </xf>
    <xf numFmtId="0" fontId="45" fillId="44" borderId="18" xfId="332" applyFont="1" applyFill="1" applyBorder="1" applyAlignment="1">
      <alignment horizontal="left"/>
    </xf>
    <xf numFmtId="0" fontId="50" fillId="44" borderId="10" xfId="332" applyFont="1" applyFill="1" applyBorder="1" applyAlignment="1">
      <alignment horizontal="left"/>
    </xf>
    <xf numFmtId="0" fontId="53" fillId="44" borderId="129" xfId="332" applyFont="1" applyFill="1" applyBorder="1" applyAlignment="1">
      <alignment horizontal="center"/>
    </xf>
    <xf numFmtId="0" fontId="51" fillId="44" borderId="13" xfId="332" applyFont="1" applyFill="1" applyBorder="1" applyAlignment="1">
      <alignment horizontal="left"/>
    </xf>
    <xf numFmtId="0" fontId="46" fillId="44" borderId="155" xfId="332" applyFont="1" applyFill="1" applyBorder="1" applyAlignment="1">
      <alignment horizontal="center"/>
    </xf>
    <xf numFmtId="169" fontId="47" fillId="34" borderId="6" xfId="332" applyNumberFormat="1" applyFont="1" applyFill="1" applyBorder="1" applyAlignment="1">
      <alignment horizontal="center"/>
    </xf>
    <xf numFmtId="10" fontId="49" fillId="32" borderId="5" xfId="35" applyNumberFormat="1" applyFont="1" applyFill="1" applyBorder="1" applyAlignment="1" applyProtection="1">
      <alignment horizontal="center"/>
    </xf>
    <xf numFmtId="10" fontId="49" fillId="32" borderId="6" xfId="35" applyNumberFormat="1" applyFont="1" applyFill="1" applyBorder="1" applyAlignment="1" applyProtection="1">
      <alignment horizontal="center"/>
    </xf>
    <xf numFmtId="173" fontId="49" fillId="32" borderId="5" xfId="332" applyNumberFormat="1" applyFont="1" applyFill="1" applyBorder="1" applyAlignment="1">
      <alignment horizontal="center"/>
    </xf>
    <xf numFmtId="173" fontId="49" fillId="32" borderId="6" xfId="332" applyNumberFormat="1" applyFont="1" applyFill="1" applyBorder="1" applyAlignment="1">
      <alignment horizontal="center"/>
    </xf>
    <xf numFmtId="169" fontId="47" fillId="34" borderId="7" xfId="332" applyNumberFormat="1" applyFont="1" applyFill="1" applyBorder="1" applyAlignment="1">
      <alignment horizontal="center"/>
    </xf>
    <xf numFmtId="169" fontId="47" fillId="34" borderId="128" xfId="332" applyNumberFormat="1" applyFont="1" applyFill="1" applyBorder="1" applyAlignment="1">
      <alignment horizontal="center"/>
    </xf>
    <xf numFmtId="0" fontId="47" fillId="31" borderId="0" xfId="332" applyFont="1" applyFill="1" applyProtection="1">
      <protection locked="0"/>
    </xf>
    <xf numFmtId="2" fontId="47" fillId="31" borderId="178" xfId="332" applyNumberFormat="1" applyFont="1" applyFill="1" applyBorder="1" applyProtection="1">
      <protection locked="0"/>
    </xf>
    <xf numFmtId="2" fontId="47" fillId="31" borderId="22" xfId="332" applyNumberFormat="1" applyFont="1" applyFill="1" applyBorder="1" applyProtection="1">
      <protection locked="0"/>
    </xf>
    <xf numFmtId="0" fontId="47" fillId="31" borderId="139" xfId="332" applyFont="1" applyFill="1" applyBorder="1" applyProtection="1">
      <protection locked="0"/>
    </xf>
    <xf numFmtId="2" fontId="47" fillId="31" borderId="142" xfId="332" applyNumberFormat="1" applyFont="1" applyFill="1" applyBorder="1" applyProtection="1">
      <protection locked="0"/>
    </xf>
    <xf numFmtId="16" fontId="53" fillId="39" borderId="24" xfId="39" applyNumberFormat="1" applyFont="1" applyFill="1" applyBorder="1" applyAlignment="1">
      <alignment horizontal="center"/>
    </xf>
    <xf numFmtId="179" fontId="47" fillId="34" borderId="1" xfId="0" applyNumberFormat="1" applyFont="1" applyFill="1" applyBorder="1" applyAlignment="1">
      <alignment horizontal="left"/>
    </xf>
    <xf numFmtId="4" fontId="47" fillId="32" borderId="4" xfId="39" applyNumberFormat="1" applyFont="1" applyFill="1" applyBorder="1"/>
    <xf numFmtId="4" fontId="47" fillId="32" borderId="5" xfId="39" applyNumberFormat="1" applyFont="1" applyFill="1" applyBorder="1"/>
    <xf numFmtId="4" fontId="47" fillId="32" borderId="6" xfId="39" applyNumberFormat="1" applyFont="1" applyFill="1" applyBorder="1"/>
    <xf numFmtId="4" fontId="47" fillId="32" borderId="1" xfId="39" applyNumberFormat="1" applyFont="1" applyFill="1" applyBorder="1"/>
    <xf numFmtId="4" fontId="47" fillId="32" borderId="0" xfId="39" applyNumberFormat="1" applyFont="1" applyFill="1"/>
    <xf numFmtId="4" fontId="47" fillId="32" borderId="7" xfId="39" applyNumberFormat="1" applyFont="1" applyFill="1" applyBorder="1"/>
    <xf numFmtId="179" fontId="47" fillId="34" borderId="1" xfId="0" applyNumberFormat="1" applyFont="1" applyFill="1" applyBorder="1" applyAlignment="1">
      <alignment horizontal="center"/>
    </xf>
    <xf numFmtId="3" fontId="103" fillId="32" borderId="15" xfId="332" applyNumberFormat="1" applyFont="1" applyFill="1" applyBorder="1"/>
    <xf numFmtId="3" fontId="102" fillId="32" borderId="0" xfId="332" applyNumberFormat="1" applyFont="1" applyFill="1"/>
    <xf numFmtId="3" fontId="102" fillId="32" borderId="7" xfId="332" applyNumberFormat="1" applyFont="1" applyFill="1" applyBorder="1"/>
    <xf numFmtId="16" fontId="49" fillId="0" borderId="0" xfId="332" quotePrefix="1" applyNumberFormat="1" applyFont="1"/>
    <xf numFmtId="179" fontId="47" fillId="34" borderId="132" xfId="0" applyNumberFormat="1" applyFont="1" applyFill="1" applyBorder="1" applyAlignment="1">
      <alignment horizontal="center"/>
    </xf>
    <xf numFmtId="179" fontId="47" fillId="34" borderId="177" xfId="0" applyNumberFormat="1" applyFont="1" applyFill="1" applyBorder="1" applyAlignment="1">
      <alignment horizontal="left"/>
    </xf>
    <xf numFmtId="179" fontId="47" fillId="34" borderId="2" xfId="0" applyNumberFormat="1" applyFont="1" applyFill="1" applyBorder="1" applyAlignment="1">
      <alignment horizontal="center"/>
    </xf>
    <xf numFmtId="179" fontId="47" fillId="34" borderId="3" xfId="0" applyNumberFormat="1" applyFont="1" applyFill="1" applyBorder="1" applyAlignment="1">
      <alignment horizontal="left"/>
    </xf>
    <xf numFmtId="179" fontId="47" fillId="34" borderId="146" xfId="0" applyNumberFormat="1" applyFont="1" applyFill="1" applyBorder="1" applyAlignment="1">
      <alignment horizontal="center"/>
    </xf>
    <xf numFmtId="179" fontId="47" fillId="34" borderId="36" xfId="0" applyNumberFormat="1" applyFont="1" applyFill="1" applyBorder="1" applyAlignment="1">
      <alignment horizontal="left"/>
    </xf>
    <xf numFmtId="0" fontId="50" fillId="0" borderId="0" xfId="332" applyFont="1"/>
    <xf numFmtId="0" fontId="53" fillId="46" borderId="34" xfId="332" applyFont="1" applyFill="1" applyBorder="1" applyAlignment="1">
      <alignment horizontal="center"/>
    </xf>
    <xf numFmtId="0" fontId="51" fillId="46" borderId="176" xfId="332" applyFont="1" applyFill="1" applyBorder="1" applyAlignment="1">
      <alignment horizontal="left"/>
    </xf>
    <xf numFmtId="179" fontId="47" fillId="34" borderId="153" xfId="0" applyNumberFormat="1" applyFont="1" applyFill="1" applyBorder="1" applyAlignment="1">
      <alignment horizontal="center"/>
    </xf>
    <xf numFmtId="179" fontId="47" fillId="34" borderId="144" xfId="0" applyNumberFormat="1" applyFont="1" applyFill="1" applyBorder="1" applyAlignment="1">
      <alignment horizontal="center"/>
    </xf>
    <xf numFmtId="16" fontId="49" fillId="36" borderId="191" xfId="332" applyNumberFormat="1" applyFont="1" applyFill="1" applyBorder="1"/>
    <xf numFmtId="0" fontId="46" fillId="41" borderId="193" xfId="332" applyFont="1" applyFill="1" applyBorder="1" applyAlignment="1">
      <alignment horizontal="center"/>
    </xf>
    <xf numFmtId="0" fontId="49" fillId="34" borderId="135" xfId="332" applyFont="1" applyFill="1" applyBorder="1" applyAlignment="1">
      <alignment horizontal="center" vertical="center"/>
    </xf>
    <xf numFmtId="3" fontId="46" fillId="32" borderId="26" xfId="332" applyNumberFormat="1" applyFont="1" applyFill="1" applyBorder="1"/>
    <xf numFmtId="16" fontId="49" fillId="30" borderId="13" xfId="332" applyNumberFormat="1" applyFont="1" applyFill="1" applyBorder="1"/>
    <xf numFmtId="0" fontId="46" fillId="30" borderId="156" xfId="332" applyFont="1" applyFill="1" applyBorder="1"/>
    <xf numFmtId="3" fontId="46" fillId="30" borderId="193" xfId="332" applyNumberFormat="1" applyFont="1" applyFill="1" applyBorder="1"/>
    <xf numFmtId="3" fontId="46" fillId="30" borderId="13" xfId="332" applyNumberFormat="1" applyFont="1" applyFill="1" applyBorder="1"/>
    <xf numFmtId="3" fontId="46" fillId="30" borderId="156" xfId="332" applyNumberFormat="1" applyFont="1" applyFill="1" applyBorder="1"/>
    <xf numFmtId="3" fontId="46" fillId="30" borderId="155" xfId="332" applyNumberFormat="1" applyFont="1" applyFill="1" applyBorder="1"/>
    <xf numFmtId="0" fontId="50" fillId="0" borderId="9" xfId="8" applyFont="1" applyBorder="1"/>
    <xf numFmtId="0" fontId="46" fillId="0" borderId="41" xfId="8" applyFont="1" applyBorder="1" applyAlignment="1">
      <alignment horizontal="right"/>
    </xf>
    <xf numFmtId="3" fontId="46" fillId="6" borderId="21" xfId="8" applyNumberFormat="1" applyFont="1" applyFill="1" applyBorder="1" applyAlignment="1">
      <alignment horizontal="right"/>
    </xf>
    <xf numFmtId="10" fontId="46" fillId="0" borderId="0" xfId="8" applyNumberFormat="1" applyFont="1"/>
    <xf numFmtId="0" fontId="46" fillId="0" borderId="19" xfId="8" applyFont="1" applyBorder="1" applyAlignment="1">
      <alignment horizontal="left"/>
    </xf>
    <xf numFmtId="0" fontId="46" fillId="0" borderId="32" xfId="8" applyFont="1" applyBorder="1" applyAlignment="1">
      <alignment horizontal="right"/>
    </xf>
    <xf numFmtId="3" fontId="46" fillId="36" borderId="159" xfId="8" applyNumberFormat="1" applyFont="1" applyFill="1" applyBorder="1" applyAlignment="1">
      <alignment horizontal="right"/>
    </xf>
    <xf numFmtId="3" fontId="46" fillId="0" borderId="0" xfId="8" applyNumberFormat="1" applyFont="1"/>
    <xf numFmtId="3" fontId="50" fillId="0" borderId="0" xfId="35" applyNumberFormat="1" applyFont="1" applyFill="1" applyBorder="1" applyAlignment="1" applyProtection="1">
      <alignment horizontal="center"/>
    </xf>
    <xf numFmtId="0" fontId="47" fillId="0" borderId="13" xfId="332" applyFont="1" applyBorder="1"/>
    <xf numFmtId="0" fontId="46" fillId="0" borderId="54" xfId="332" applyFont="1" applyBorder="1" applyAlignment="1">
      <alignment horizontal="right"/>
    </xf>
    <xf numFmtId="3" fontId="46" fillId="30" borderId="16" xfId="332" applyNumberFormat="1" applyFont="1" applyFill="1" applyBorder="1" applyAlignment="1">
      <alignment horizontal="right"/>
    </xf>
    <xf numFmtId="170" fontId="50" fillId="0" borderId="0" xfId="8" applyNumberFormat="1" applyFont="1"/>
    <xf numFmtId="186" fontId="49" fillId="0" borderId="0" xfId="8" applyNumberFormat="1" applyFont="1"/>
    <xf numFmtId="0" fontId="48" fillId="0" borderId="0" xfId="332" applyFont="1" applyAlignment="1">
      <alignment wrapText="1"/>
    </xf>
    <xf numFmtId="0" fontId="47" fillId="0" borderId="0" xfId="8" applyFont="1"/>
    <xf numFmtId="0" fontId="46" fillId="0" borderId="0" xfId="332" applyFont="1" applyAlignment="1">
      <alignment vertical="center"/>
    </xf>
    <xf numFmtId="0" fontId="48" fillId="0" borderId="0" xfId="332" applyFont="1" applyAlignment="1">
      <alignment horizontal="left" wrapText="1"/>
    </xf>
    <xf numFmtId="0" fontId="51" fillId="2" borderId="30" xfId="332" applyFont="1" applyFill="1" applyBorder="1" applyAlignment="1">
      <alignment horizontal="center" vertical="center" wrapText="1"/>
    </xf>
    <xf numFmtId="0" fontId="48" fillId="2" borderId="53" xfId="332" applyFont="1" applyFill="1" applyBorder="1" applyAlignment="1">
      <alignment horizontal="right" vertical="center" wrapText="1"/>
    </xf>
    <xf numFmtId="0" fontId="48" fillId="2" borderId="27" xfId="332" applyFont="1" applyFill="1" applyBorder="1" applyAlignment="1">
      <alignment horizontal="center" vertical="center" wrapText="1"/>
    </xf>
    <xf numFmtId="0" fontId="48" fillId="2" borderId="28" xfId="332" applyFont="1" applyFill="1" applyBorder="1" applyAlignment="1">
      <alignment horizontal="center" vertical="center" wrapText="1"/>
    </xf>
    <xf numFmtId="0" fontId="48" fillId="2" borderId="16" xfId="332" applyFont="1" applyFill="1" applyBorder="1" applyAlignment="1">
      <alignment horizontal="center" vertical="center" wrapText="1"/>
    </xf>
    <xf numFmtId="0" fontId="48" fillId="2" borderId="30" xfId="332" applyFont="1" applyFill="1" applyBorder="1" applyAlignment="1">
      <alignment horizontal="right" wrapText="1"/>
    </xf>
    <xf numFmtId="0" fontId="51" fillId="2" borderId="175" xfId="332" applyFont="1" applyFill="1" applyBorder="1" applyAlignment="1">
      <alignment horizontal="right" wrapText="1"/>
    </xf>
    <xf numFmtId="3" fontId="51" fillId="32" borderId="142" xfId="332" applyNumberFormat="1" applyFont="1" applyFill="1" applyBorder="1" applyAlignment="1">
      <alignment horizontal="right" vertical="center" wrapText="1"/>
    </xf>
    <xf numFmtId="3" fontId="51" fillId="32" borderId="143" xfId="332" applyNumberFormat="1" applyFont="1" applyFill="1" applyBorder="1" applyAlignment="1">
      <alignment horizontal="right" vertical="center" wrapText="1"/>
    </xf>
    <xf numFmtId="3" fontId="51" fillId="32" borderId="178" xfId="332" applyNumberFormat="1" applyFont="1" applyFill="1" applyBorder="1" applyAlignment="1">
      <alignment horizontal="right" vertical="center" wrapText="1"/>
    </xf>
    <xf numFmtId="3" fontId="51" fillId="32" borderId="130" xfId="332" applyNumberFormat="1" applyFont="1" applyFill="1" applyBorder="1" applyAlignment="1">
      <alignment horizontal="right" vertical="center" wrapText="1"/>
    </xf>
    <xf numFmtId="0" fontId="51" fillId="2" borderId="53" xfId="332" applyFont="1" applyFill="1" applyBorder="1" applyAlignment="1">
      <alignment horizontal="right" wrapText="1"/>
    </xf>
    <xf numFmtId="3" fontId="51" fillId="32" borderId="28" xfId="332" applyNumberFormat="1" applyFont="1" applyFill="1" applyBorder="1" applyAlignment="1">
      <alignment horizontal="right" vertical="center" wrapText="1"/>
    </xf>
    <xf numFmtId="3" fontId="51" fillId="32" borderId="16" xfId="332" applyNumberFormat="1" applyFont="1" applyFill="1" applyBorder="1" applyAlignment="1">
      <alignment horizontal="right" vertical="center" wrapText="1"/>
    </xf>
    <xf numFmtId="0" fontId="51" fillId="2" borderId="30" xfId="332" applyFont="1" applyFill="1" applyBorder="1" applyAlignment="1">
      <alignment horizontal="right" wrapText="1"/>
    </xf>
    <xf numFmtId="3" fontId="51" fillId="32" borderId="142" xfId="332" applyNumberFormat="1" applyFont="1" applyFill="1" applyBorder="1" applyAlignment="1">
      <alignment horizontal="right" wrapText="1"/>
    </xf>
    <xf numFmtId="0" fontId="48" fillId="0" borderId="0" xfId="332" applyFont="1" applyAlignment="1">
      <alignment horizontal="left"/>
    </xf>
    <xf numFmtId="0" fontId="47" fillId="0" borderId="5" xfId="8" applyFont="1" applyBorder="1"/>
    <xf numFmtId="0" fontId="66" fillId="0" borderId="0" xfId="332" applyFont="1" applyAlignment="1">
      <alignment horizontal="left"/>
    </xf>
    <xf numFmtId="3" fontId="51" fillId="0" borderId="0" xfId="332" applyNumberFormat="1" applyFont="1" applyAlignment="1">
      <alignment horizontal="center" wrapText="1"/>
    </xf>
    <xf numFmtId="0" fontId="51" fillId="2" borderId="25" xfId="332" applyFont="1" applyFill="1" applyBorder="1" applyAlignment="1">
      <alignment horizontal="right" vertical="center" wrapText="1"/>
    </xf>
    <xf numFmtId="0" fontId="48" fillId="2" borderId="141" xfId="332" applyFont="1" applyFill="1" applyBorder="1" applyAlignment="1">
      <alignment horizontal="center" vertical="center" wrapText="1"/>
    </xf>
    <xf numFmtId="0" fontId="48" fillId="2" borderId="23" xfId="332" applyFont="1" applyFill="1" applyBorder="1" applyAlignment="1">
      <alignment horizontal="center" vertical="center" wrapText="1"/>
    </xf>
    <xf numFmtId="0" fontId="48" fillId="2" borderId="20" xfId="332" applyFont="1" applyFill="1" applyBorder="1" applyAlignment="1">
      <alignment horizontal="center" vertical="center" wrapText="1"/>
    </xf>
    <xf numFmtId="3" fontId="51" fillId="32" borderId="141" xfId="332" applyNumberFormat="1" applyFont="1" applyFill="1" applyBorder="1" applyAlignment="1">
      <alignment vertical="center" wrapText="1"/>
    </xf>
    <xf numFmtId="3" fontId="51" fillId="32" borderId="23" xfId="332" applyNumberFormat="1" applyFont="1" applyFill="1" applyBorder="1" applyAlignment="1">
      <alignment vertical="center" wrapText="1"/>
    </xf>
    <xf numFmtId="3" fontId="51" fillId="32" borderId="23" xfId="332" applyNumberFormat="1" applyFont="1" applyFill="1" applyBorder="1" applyAlignment="1">
      <alignment horizontal="right" vertical="center" wrapText="1"/>
    </xf>
    <xf numFmtId="3" fontId="49" fillId="0" borderId="23" xfId="8" applyNumberFormat="1" applyFont="1" applyBorder="1"/>
    <xf numFmtId="3" fontId="49" fillId="0" borderId="20" xfId="8" applyNumberFormat="1" applyFont="1" applyBorder="1"/>
    <xf numFmtId="0" fontId="51" fillId="2" borderId="175" xfId="332" applyFont="1" applyFill="1" applyBorder="1" applyAlignment="1">
      <alignment horizontal="right" vertical="center" wrapText="1"/>
    </xf>
    <xf numFmtId="0" fontId="48" fillId="2" borderId="175" xfId="332" applyFont="1" applyFill="1" applyBorder="1" applyAlignment="1">
      <alignment horizontal="right" wrapText="1"/>
    </xf>
    <xf numFmtId="0" fontId="51" fillId="2" borderId="53" xfId="332" applyFont="1" applyFill="1" applyBorder="1" applyAlignment="1">
      <alignment horizontal="right" vertical="center" wrapText="1"/>
    </xf>
    <xf numFmtId="0" fontId="49" fillId="0" borderId="1" xfId="8" applyFont="1" applyBorder="1"/>
    <xf numFmtId="0" fontId="93" fillId="0" borderId="0" xfId="332" applyFont="1" applyAlignment="1">
      <alignment horizontal="left"/>
    </xf>
    <xf numFmtId="0" fontId="51" fillId="0" borderId="0" xfId="332" applyFont="1" applyAlignment="1">
      <alignment vertical="center" wrapText="1"/>
    </xf>
    <xf numFmtId="0" fontId="51" fillId="2" borderId="25" xfId="332" applyFont="1" applyFill="1" applyBorder="1" applyAlignment="1">
      <alignment horizontal="center" vertical="center" wrapText="1"/>
    </xf>
    <xf numFmtId="0" fontId="48" fillId="2" borderId="8" xfId="332" applyFont="1" applyFill="1" applyBorder="1" applyAlignment="1">
      <alignment horizontal="right" vertical="center" wrapText="1"/>
    </xf>
    <xf numFmtId="0" fontId="108" fillId="0" borderId="0" xfId="8" applyFont="1"/>
    <xf numFmtId="0" fontId="51" fillId="2" borderId="35" xfId="332" applyFont="1" applyFill="1" applyBorder="1" applyAlignment="1">
      <alignment horizontal="center" wrapText="1"/>
    </xf>
    <xf numFmtId="180" fontId="51" fillId="32" borderId="137" xfId="332" applyNumberFormat="1" applyFont="1" applyFill="1" applyBorder="1" applyAlignment="1">
      <alignment horizontal="right" vertical="center" wrapText="1"/>
    </xf>
    <xf numFmtId="180" fontId="51" fillId="32" borderId="142" xfId="332" applyNumberFormat="1" applyFont="1" applyFill="1" applyBorder="1" applyAlignment="1">
      <alignment horizontal="right" vertical="center" wrapText="1"/>
    </xf>
    <xf numFmtId="180" fontId="51" fillId="32" borderId="143" xfId="332" applyNumberFormat="1" applyFont="1" applyFill="1" applyBorder="1" applyAlignment="1">
      <alignment horizontal="right" vertical="center" wrapText="1"/>
    </xf>
    <xf numFmtId="0" fontId="97" fillId="0" borderId="0" xfId="341" applyProtection="1"/>
    <xf numFmtId="0" fontId="51" fillId="2" borderId="175" xfId="332" applyFont="1" applyFill="1" applyBorder="1" applyAlignment="1">
      <alignment horizontal="center" wrapText="1"/>
    </xf>
    <xf numFmtId="0" fontId="51" fillId="2" borderId="53" xfId="332" applyFont="1" applyFill="1" applyBorder="1" applyAlignment="1">
      <alignment horizontal="center" wrapText="1"/>
    </xf>
    <xf numFmtId="180" fontId="51" fillId="32" borderId="138" xfId="332" applyNumberFormat="1" applyFont="1" applyFill="1" applyBorder="1" applyAlignment="1">
      <alignment horizontal="right" vertical="center" wrapText="1"/>
    </xf>
    <xf numFmtId="180" fontId="51" fillId="32" borderId="145" xfId="332" applyNumberFormat="1" applyFont="1" applyFill="1" applyBorder="1" applyAlignment="1">
      <alignment horizontal="right" vertical="center" wrapText="1"/>
    </xf>
    <xf numFmtId="180" fontId="51" fillId="32" borderId="131" xfId="332" applyNumberFormat="1" applyFont="1" applyFill="1" applyBorder="1" applyAlignment="1">
      <alignment horizontal="right" vertical="center" wrapText="1"/>
    </xf>
    <xf numFmtId="0" fontId="51" fillId="2" borderId="30" xfId="332" applyFont="1" applyFill="1" applyBorder="1" applyAlignment="1">
      <alignment horizontal="center" wrapText="1"/>
    </xf>
    <xf numFmtId="180" fontId="51" fillId="32" borderId="29" xfId="332" applyNumberFormat="1" applyFont="1" applyFill="1" applyBorder="1" applyAlignment="1">
      <alignment horizontal="right" vertical="center" wrapText="1"/>
    </xf>
    <xf numFmtId="180" fontId="51" fillId="32" borderId="39" xfId="332" applyNumberFormat="1" applyFont="1" applyFill="1" applyBorder="1" applyAlignment="1">
      <alignment horizontal="right" vertical="center" wrapText="1"/>
    </xf>
    <xf numFmtId="180" fontId="51" fillId="32" borderId="21" xfId="332" applyNumberFormat="1" applyFont="1" applyFill="1" applyBorder="1" applyAlignment="1">
      <alignment horizontal="right" vertical="center" wrapText="1"/>
    </xf>
    <xf numFmtId="0" fontId="51" fillId="2" borderId="140" xfId="332" applyFont="1" applyFill="1" applyBorder="1" applyAlignment="1">
      <alignment horizontal="center" wrapText="1"/>
    </xf>
    <xf numFmtId="180" fontId="51" fillId="32" borderId="40" xfId="332" applyNumberFormat="1" applyFont="1" applyFill="1" applyBorder="1" applyAlignment="1">
      <alignment horizontal="right" vertical="center" wrapText="1"/>
    </xf>
    <xf numFmtId="180" fontId="51" fillId="32" borderId="22" xfId="332" applyNumberFormat="1" applyFont="1" applyFill="1" applyBorder="1" applyAlignment="1">
      <alignment horizontal="right" vertical="center" wrapText="1"/>
    </xf>
    <xf numFmtId="180" fontId="51" fillId="32" borderId="15" xfId="332" applyNumberFormat="1" applyFont="1" applyFill="1" applyBorder="1" applyAlignment="1">
      <alignment horizontal="right" vertical="center" wrapText="1"/>
    </xf>
    <xf numFmtId="180" fontId="51" fillId="32" borderId="27" xfId="332" applyNumberFormat="1" applyFont="1" applyFill="1" applyBorder="1" applyAlignment="1">
      <alignment horizontal="right" vertical="center" wrapText="1"/>
    </xf>
    <xf numFmtId="180" fontId="51" fillId="32" borderId="28" xfId="332" applyNumberFormat="1" applyFont="1" applyFill="1" applyBorder="1" applyAlignment="1">
      <alignment horizontal="right" vertical="center" wrapText="1"/>
    </xf>
    <xf numFmtId="180" fontId="51" fillId="32" borderId="16" xfId="332" applyNumberFormat="1" applyFont="1" applyFill="1" applyBorder="1" applyAlignment="1">
      <alignment horizontal="right" vertical="center" wrapText="1"/>
    </xf>
    <xf numFmtId="180" fontId="51" fillId="32" borderId="141" xfId="332" applyNumberFormat="1" applyFont="1" applyFill="1" applyBorder="1" applyAlignment="1">
      <alignment horizontal="right" vertical="center" wrapText="1"/>
    </xf>
    <xf numFmtId="180" fontId="51" fillId="32" borderId="23" xfId="332" applyNumberFormat="1" applyFont="1" applyFill="1" applyBorder="1" applyAlignment="1">
      <alignment horizontal="right" vertical="center" wrapText="1"/>
    </xf>
    <xf numFmtId="180" fontId="51" fillId="32" borderId="20" xfId="332" applyNumberFormat="1" applyFont="1" applyFill="1" applyBorder="1" applyAlignment="1">
      <alignment horizontal="right" vertical="center" wrapText="1"/>
    </xf>
    <xf numFmtId="0" fontId="51" fillId="0" borderId="0" xfId="332" applyFont="1" applyAlignment="1">
      <alignment horizontal="left"/>
    </xf>
    <xf numFmtId="0" fontId="46" fillId="37" borderId="4" xfId="332" applyFont="1" applyFill="1" applyBorder="1" applyAlignment="1">
      <alignment vertical="center"/>
    </xf>
    <xf numFmtId="0" fontId="104" fillId="37" borderId="41" xfId="332" applyFont="1" applyFill="1" applyBorder="1" applyAlignment="1">
      <alignment horizontal="left" vertical="center"/>
    </xf>
    <xf numFmtId="0" fontId="104" fillId="37" borderId="10" xfId="332" applyFont="1" applyFill="1" applyBorder="1" applyAlignment="1">
      <alignment horizontal="center" vertical="center" wrapText="1"/>
    </xf>
    <xf numFmtId="0" fontId="104" fillId="37" borderId="41" xfId="332" applyFont="1" applyFill="1" applyBorder="1" applyAlignment="1">
      <alignment horizontal="center" vertical="center" wrapText="1"/>
    </xf>
    <xf numFmtId="0" fontId="104" fillId="37" borderId="39" xfId="332" applyFont="1" applyFill="1" applyBorder="1" applyAlignment="1">
      <alignment horizontal="center" vertical="center" wrapText="1"/>
    </xf>
    <xf numFmtId="0" fontId="104" fillId="37" borderId="21" xfId="332" applyFont="1" applyFill="1" applyBorder="1" applyAlignment="1">
      <alignment horizontal="center" vertical="center" wrapText="1"/>
    </xf>
    <xf numFmtId="0" fontId="46" fillId="37" borderId="1" xfId="332" applyFont="1" applyFill="1" applyBorder="1" applyAlignment="1">
      <alignment vertical="center"/>
    </xf>
    <xf numFmtId="0" fontId="51" fillId="32" borderId="32" xfId="332" applyFont="1" applyFill="1" applyBorder="1" applyAlignment="1">
      <alignment horizontal="left" vertical="center"/>
    </xf>
    <xf numFmtId="0" fontId="51" fillId="32" borderId="7" xfId="332" applyFont="1" applyFill="1" applyBorder="1" applyAlignment="1">
      <alignment horizontal="center" vertical="center" wrapText="1"/>
    </xf>
    <xf numFmtId="173" fontId="51" fillId="32" borderId="32" xfId="332" applyNumberFormat="1" applyFont="1" applyFill="1" applyBorder="1" applyAlignment="1">
      <alignment horizontal="center" vertical="center" wrapText="1"/>
    </xf>
    <xf numFmtId="173" fontId="51" fillId="32" borderId="158" xfId="332" applyNumberFormat="1" applyFont="1" applyFill="1" applyBorder="1" applyAlignment="1">
      <alignment horizontal="center" vertical="center" wrapText="1"/>
    </xf>
    <xf numFmtId="173" fontId="51" fillId="32" borderId="159" xfId="332" applyNumberFormat="1" applyFont="1" applyFill="1" applyBorder="1" applyAlignment="1">
      <alignment horizontal="center" vertical="center" wrapText="1"/>
    </xf>
    <xf numFmtId="2" fontId="51" fillId="31" borderId="31" xfId="332" applyNumberFormat="1" applyFont="1" applyFill="1" applyBorder="1" applyAlignment="1">
      <alignment horizontal="center" vertical="center" wrapText="1"/>
    </xf>
    <xf numFmtId="2" fontId="51" fillId="31" borderId="7" xfId="332" applyNumberFormat="1" applyFont="1" applyFill="1" applyBorder="1" applyAlignment="1">
      <alignment horizontal="center" vertical="center" wrapText="1"/>
    </xf>
    <xf numFmtId="0" fontId="46" fillId="37" borderId="191" xfId="332" applyFont="1" applyFill="1" applyBorder="1" applyAlignment="1">
      <alignment vertical="center"/>
    </xf>
    <xf numFmtId="0" fontId="51" fillId="32" borderId="54" xfId="332" applyFont="1" applyFill="1" applyBorder="1" applyAlignment="1">
      <alignment horizontal="left" vertical="center"/>
    </xf>
    <xf numFmtId="0" fontId="51" fillId="32" borderId="155" xfId="332" applyFont="1" applyFill="1" applyBorder="1" applyAlignment="1">
      <alignment horizontal="center" vertical="center" wrapText="1"/>
    </xf>
    <xf numFmtId="173" fontId="51" fillId="32" borderId="54" xfId="332" applyNumberFormat="1" applyFont="1" applyFill="1" applyBorder="1" applyAlignment="1">
      <alignment horizontal="center" vertical="center" wrapText="1"/>
    </xf>
    <xf numFmtId="173" fontId="51" fillId="32" borderId="28" xfId="332" applyNumberFormat="1" applyFont="1" applyFill="1" applyBorder="1" applyAlignment="1">
      <alignment horizontal="center" vertical="center" wrapText="1"/>
    </xf>
    <xf numFmtId="173" fontId="51" fillId="32" borderId="16" xfId="332" applyNumberFormat="1" applyFont="1" applyFill="1" applyBorder="1" applyAlignment="1">
      <alignment horizontal="center" vertical="center" wrapText="1"/>
    </xf>
    <xf numFmtId="0" fontId="46" fillId="47" borderId="24" xfId="332" applyFont="1" applyFill="1" applyBorder="1" applyAlignment="1">
      <alignment vertical="center"/>
    </xf>
    <xf numFmtId="0" fontId="104" fillId="47" borderId="29" xfId="332" applyFont="1" applyFill="1" applyBorder="1" applyAlignment="1">
      <alignment horizontal="left" vertical="center"/>
    </xf>
    <xf numFmtId="0" fontId="104" fillId="47" borderId="39" xfId="332" applyFont="1" applyFill="1" applyBorder="1" applyAlignment="1">
      <alignment horizontal="center" vertical="center" wrapText="1"/>
    </xf>
    <xf numFmtId="1" fontId="104" fillId="47" borderId="21" xfId="332" applyNumberFormat="1" applyFont="1" applyFill="1" applyBorder="1" applyAlignment="1">
      <alignment horizontal="center" vertical="center" wrapText="1"/>
    </xf>
    <xf numFmtId="0" fontId="46" fillId="47" borderId="34" xfId="332" applyFont="1" applyFill="1" applyBorder="1" applyAlignment="1">
      <alignment vertical="center"/>
    </xf>
    <xf numFmtId="0" fontId="104" fillId="47" borderId="138" xfId="332" applyFont="1" applyFill="1" applyBorder="1" applyAlignment="1">
      <alignment horizontal="left" vertical="center"/>
    </xf>
    <xf numFmtId="0" fontId="104" fillId="47" borderId="23" xfId="332" applyFont="1" applyFill="1" applyBorder="1" applyAlignment="1">
      <alignment horizontal="center" vertical="center" wrapText="1"/>
    </xf>
    <xf numFmtId="0" fontId="104" fillId="47" borderId="20" xfId="332" applyFont="1" applyFill="1" applyBorder="1" applyAlignment="1">
      <alignment horizontal="center" vertical="center" wrapText="1"/>
    </xf>
    <xf numFmtId="0" fontId="51" fillId="32" borderId="139" xfId="332" applyFont="1" applyFill="1" applyBorder="1" applyAlignment="1">
      <alignment horizontal="left" vertical="center"/>
    </xf>
    <xf numFmtId="173" fontId="51" fillId="32" borderId="142" xfId="332" applyNumberFormat="1" applyFont="1" applyFill="1" applyBorder="1" applyAlignment="1">
      <alignment horizontal="center" vertical="center" wrapText="1"/>
    </xf>
    <xf numFmtId="170" fontId="47" fillId="32" borderId="143" xfId="8" applyNumberFormat="1" applyFont="1" applyFill="1" applyBorder="1" applyAlignment="1">
      <alignment horizontal="center"/>
    </xf>
    <xf numFmtId="0" fontId="51" fillId="32" borderId="17" xfId="332" applyFont="1" applyFill="1" applyBorder="1" applyAlignment="1">
      <alignment horizontal="left" vertical="center"/>
    </xf>
    <xf numFmtId="170" fontId="47" fillId="32" borderId="159" xfId="8" applyNumberFormat="1" applyFont="1" applyFill="1" applyBorder="1" applyAlignment="1">
      <alignment horizontal="center"/>
    </xf>
    <xf numFmtId="0" fontId="46" fillId="47" borderId="33" xfId="332" applyFont="1" applyFill="1" applyBorder="1" applyAlignment="1">
      <alignment vertical="center"/>
    </xf>
    <xf numFmtId="0" fontId="51" fillId="32" borderId="156" xfId="332" applyFont="1" applyFill="1" applyBorder="1" applyAlignment="1">
      <alignment horizontal="left" vertical="center"/>
    </xf>
    <xf numFmtId="170" fontId="47" fillId="32" borderId="16" xfId="8" applyNumberFormat="1" applyFont="1" applyFill="1" applyBorder="1" applyAlignment="1">
      <alignment horizontal="center"/>
    </xf>
    <xf numFmtId="0" fontId="66" fillId="0" borderId="0" xfId="332" applyFont="1"/>
    <xf numFmtId="0" fontId="53" fillId="44" borderId="24" xfId="332" applyFont="1" applyFill="1" applyBorder="1" applyAlignment="1">
      <alignment horizontal="center"/>
    </xf>
    <xf numFmtId="0" fontId="49" fillId="34" borderId="9" xfId="332" applyFont="1" applyFill="1" applyBorder="1"/>
    <xf numFmtId="169" fontId="47" fillId="34" borderId="21" xfId="332" applyNumberFormat="1" applyFont="1" applyFill="1" applyBorder="1" applyAlignment="1">
      <alignment horizontal="center"/>
    </xf>
    <xf numFmtId="3" fontId="47" fillId="4" borderId="9" xfId="332" applyNumberFormat="1" applyFont="1" applyFill="1" applyBorder="1" applyAlignment="1">
      <alignment horizontal="center"/>
    </xf>
    <xf numFmtId="10" fontId="47" fillId="32" borderId="18" xfId="35" applyNumberFormat="1" applyFont="1" applyFill="1" applyBorder="1" applyAlignment="1" applyProtection="1">
      <alignment horizontal="center"/>
    </xf>
    <xf numFmtId="10" fontId="47" fillId="32" borderId="10" xfId="35" applyNumberFormat="1" applyFont="1" applyFill="1" applyBorder="1" applyAlignment="1" applyProtection="1">
      <alignment horizontal="center"/>
    </xf>
    <xf numFmtId="16" fontId="49" fillId="34" borderId="129" xfId="332" quotePrefix="1" applyNumberFormat="1" applyFont="1" applyFill="1" applyBorder="1" applyAlignment="1">
      <alignment horizontal="center"/>
    </xf>
    <xf numFmtId="169" fontId="47" fillId="0" borderId="16" xfId="332" applyNumberFormat="1" applyFont="1" applyBorder="1" applyAlignment="1">
      <alignment horizontal="center"/>
    </xf>
    <xf numFmtId="170" fontId="47" fillId="0" borderId="129" xfId="332" applyNumberFormat="1" applyFont="1" applyBorder="1" applyAlignment="1">
      <alignment horizontal="center"/>
    </xf>
    <xf numFmtId="170" fontId="47" fillId="32" borderId="127" xfId="332" applyNumberFormat="1" applyFont="1" applyFill="1" applyBorder="1" applyAlignment="1">
      <alignment horizontal="center"/>
    </xf>
    <xf numFmtId="170" fontId="47" fillId="32" borderId="128" xfId="332" applyNumberFormat="1" applyFont="1" applyFill="1" applyBorder="1" applyAlignment="1">
      <alignment horizontal="center"/>
    </xf>
    <xf numFmtId="169" fontId="47" fillId="34" borderId="10" xfId="332" applyNumberFormat="1" applyFont="1" applyFill="1" applyBorder="1" applyAlignment="1">
      <alignment horizontal="center"/>
    </xf>
    <xf numFmtId="16" fontId="49" fillId="34" borderId="129" xfId="332" applyNumberFormat="1" applyFont="1" applyFill="1" applyBorder="1" applyAlignment="1">
      <alignment horizontal="center"/>
    </xf>
    <xf numFmtId="169" fontId="47" fillId="34" borderId="155" xfId="332" applyNumberFormat="1" applyFont="1" applyFill="1" applyBorder="1" applyAlignment="1">
      <alignment horizontal="center"/>
    </xf>
    <xf numFmtId="173" fontId="47" fillId="32" borderId="127" xfId="332" applyNumberFormat="1" applyFont="1" applyFill="1" applyBorder="1" applyAlignment="1">
      <alignment horizontal="center"/>
    </xf>
    <xf numFmtId="173" fontId="47" fillId="32" borderId="128" xfId="332" applyNumberFormat="1" applyFont="1" applyFill="1" applyBorder="1" applyAlignment="1">
      <alignment horizontal="center"/>
    </xf>
    <xf numFmtId="0" fontId="61" fillId="0" borderId="11" xfId="332" applyFont="1" applyBorder="1"/>
    <xf numFmtId="0" fontId="68" fillId="0" borderId="11" xfId="332" applyFont="1" applyBorder="1"/>
    <xf numFmtId="0" fontId="68" fillId="0" borderId="11" xfId="332" applyFont="1" applyBorder="1" applyAlignment="1">
      <alignment horizontal="right"/>
    </xf>
    <xf numFmtId="0" fontId="49" fillId="0" borderId="11" xfId="8" applyFont="1" applyBorder="1"/>
    <xf numFmtId="0" fontId="49" fillId="0" borderId="12" xfId="8" applyFont="1" applyBorder="1"/>
    <xf numFmtId="3" fontId="102" fillId="32" borderId="1" xfId="332" applyNumberFormat="1" applyFont="1" applyFill="1" applyBorder="1"/>
    <xf numFmtId="0" fontId="104" fillId="47" borderId="21" xfId="332" applyFont="1" applyFill="1" applyBorder="1" applyAlignment="1">
      <alignment horizontal="center" vertical="center" wrapText="1"/>
    </xf>
    <xf numFmtId="187" fontId="51" fillId="32" borderId="143" xfId="332" applyNumberFormat="1" applyFont="1" applyFill="1" applyBorder="1" applyAlignment="1">
      <alignment horizontal="center" vertical="center" wrapText="1"/>
    </xf>
    <xf numFmtId="187" fontId="51" fillId="32" borderId="131" xfId="332" applyNumberFormat="1" applyFont="1" applyFill="1" applyBorder="1" applyAlignment="1">
      <alignment horizontal="center" vertical="center" wrapText="1"/>
    </xf>
    <xf numFmtId="16" fontId="45" fillId="39" borderId="24" xfId="332" applyNumberFormat="1" applyFont="1" applyFill="1" applyBorder="1" applyAlignment="1">
      <alignment horizontal="center"/>
    </xf>
    <xf numFmtId="0" fontId="45" fillId="39" borderId="10" xfId="332" applyFont="1" applyFill="1" applyBorder="1" applyAlignment="1">
      <alignment horizontal="left"/>
    </xf>
    <xf numFmtId="0" fontId="51" fillId="39" borderId="13" xfId="332" applyFont="1" applyFill="1" applyBorder="1" applyAlignment="1">
      <alignment horizontal="left"/>
    </xf>
    <xf numFmtId="0" fontId="46" fillId="39" borderId="16" xfId="332" applyFont="1" applyFill="1" applyBorder="1" applyAlignment="1">
      <alignment horizontal="center"/>
    </xf>
    <xf numFmtId="0" fontId="51" fillId="34" borderId="1" xfId="332" applyFont="1" applyFill="1" applyBorder="1" applyAlignment="1">
      <alignment horizontal="left"/>
    </xf>
    <xf numFmtId="0" fontId="51" fillId="34" borderId="144" xfId="332" applyFont="1" applyFill="1" applyBorder="1" applyAlignment="1">
      <alignment horizontal="left"/>
    </xf>
    <xf numFmtId="0" fontId="46" fillId="6" borderId="179" xfId="0" applyFont="1" applyFill="1" applyBorder="1"/>
    <xf numFmtId="3" fontId="46" fillId="6" borderId="16" xfId="332" applyNumberFormat="1" applyFont="1" applyFill="1" applyBorder="1"/>
    <xf numFmtId="3" fontId="46" fillId="6" borderId="13" xfId="332" applyNumberFormat="1" applyFont="1" applyFill="1" applyBorder="1"/>
    <xf numFmtId="3" fontId="46" fillId="6" borderId="156" xfId="332" applyNumberFormat="1" applyFont="1" applyFill="1" applyBorder="1"/>
    <xf numFmtId="3" fontId="46" fillId="6" borderId="155" xfId="332" applyNumberFormat="1" applyFont="1" applyFill="1" applyBorder="1"/>
    <xf numFmtId="4" fontId="49" fillId="0" borderId="0" xfId="332" applyNumberFormat="1" applyFont="1"/>
    <xf numFmtId="0" fontId="51" fillId="34" borderId="4" xfId="332" applyFont="1" applyFill="1" applyBorder="1" applyAlignment="1">
      <alignment horizontal="left"/>
    </xf>
    <xf numFmtId="3" fontId="47" fillId="34" borderId="6" xfId="332" applyNumberFormat="1" applyFont="1" applyFill="1" applyBorder="1"/>
    <xf numFmtId="0" fontId="46" fillId="6" borderId="156" xfId="332" applyFont="1" applyFill="1" applyBorder="1"/>
    <xf numFmtId="184" fontId="45" fillId="41" borderId="9" xfId="332" applyNumberFormat="1" applyFont="1" applyFill="1" applyBorder="1" applyAlignment="1">
      <alignment horizontal="left"/>
    </xf>
    <xf numFmtId="0" fontId="45" fillId="41" borderId="10" xfId="332" applyFont="1" applyFill="1" applyBorder="1" applyAlignment="1">
      <alignment horizontal="left"/>
    </xf>
    <xf numFmtId="0" fontId="51" fillId="34" borderId="0" xfId="332" applyFont="1" applyFill="1" applyAlignment="1">
      <alignment horizontal="left"/>
    </xf>
    <xf numFmtId="3" fontId="46" fillId="32" borderId="4" xfId="332" applyNumberFormat="1" applyFont="1" applyFill="1" applyBorder="1"/>
    <xf numFmtId="3" fontId="46" fillId="32" borderId="5" xfId="332" applyNumberFormat="1" applyFont="1" applyFill="1" applyBorder="1"/>
    <xf numFmtId="3" fontId="46" fillId="32" borderId="6" xfId="332" applyNumberFormat="1" applyFont="1" applyFill="1" applyBorder="1"/>
    <xf numFmtId="3" fontId="46" fillId="32" borderId="1" xfId="332" applyNumberFormat="1" applyFont="1" applyFill="1" applyBorder="1"/>
    <xf numFmtId="3" fontId="46" fillId="32" borderId="0" xfId="332" applyNumberFormat="1" applyFont="1" applyFill="1"/>
    <xf numFmtId="3" fontId="46" fillId="32" borderId="7" xfId="332" applyNumberFormat="1" applyFont="1" applyFill="1" applyBorder="1"/>
    <xf numFmtId="0" fontId="51" fillId="34" borderId="139" xfId="332" applyFont="1" applyFill="1" applyBorder="1" applyAlignment="1">
      <alignment horizontal="left"/>
    </xf>
    <xf numFmtId="3" fontId="46" fillId="32" borderId="144" xfId="332" applyNumberFormat="1" applyFont="1" applyFill="1" applyBorder="1"/>
    <xf numFmtId="3" fontId="46" fillId="32" borderId="139" xfId="332" applyNumberFormat="1" applyFont="1" applyFill="1" applyBorder="1"/>
    <xf numFmtId="3" fontId="46" fillId="32" borderId="136" xfId="332" applyNumberFormat="1" applyFont="1" applyFill="1" applyBorder="1"/>
    <xf numFmtId="16" fontId="49" fillId="30" borderId="129" xfId="332" applyNumberFormat="1" applyFont="1" applyFill="1" applyBorder="1"/>
    <xf numFmtId="16" fontId="50" fillId="0" borderId="0" xfId="332" quotePrefix="1" applyNumberFormat="1" applyFont="1"/>
    <xf numFmtId="0" fontId="53" fillId="41" borderId="34" xfId="332" applyFont="1" applyFill="1" applyBorder="1" applyAlignment="1">
      <alignment horizontal="center"/>
    </xf>
    <xf numFmtId="0" fontId="51" fillId="41" borderId="176" xfId="332" applyFont="1" applyFill="1" applyBorder="1" applyAlignment="1">
      <alignment horizontal="left"/>
    </xf>
    <xf numFmtId="0" fontId="50" fillId="41" borderId="7" xfId="332" applyFont="1" applyFill="1" applyBorder="1"/>
    <xf numFmtId="0" fontId="51" fillId="34" borderId="5" xfId="332" applyFont="1" applyFill="1" applyBorder="1" applyAlignment="1">
      <alignment horizontal="left"/>
    </xf>
    <xf numFmtId="0" fontId="50" fillId="34" borderId="6" xfId="332" applyFont="1" applyFill="1" applyBorder="1"/>
    <xf numFmtId="3" fontId="46" fillId="0" borderId="4" xfId="332" applyNumberFormat="1" applyFont="1" applyBorder="1"/>
    <xf numFmtId="3" fontId="46" fillId="0" borderId="5" xfId="332" applyNumberFormat="1" applyFont="1" applyBorder="1"/>
    <xf numFmtId="3" fontId="46" fillId="0" borderId="6" xfId="332" applyNumberFormat="1" applyFont="1" applyBorder="1"/>
    <xf numFmtId="0" fontId="50" fillId="34" borderId="7" xfId="332" applyFont="1" applyFill="1" applyBorder="1"/>
    <xf numFmtId="3" fontId="46" fillId="0" borderId="1" xfId="332" applyNumberFormat="1" applyFont="1" applyBorder="1"/>
    <xf numFmtId="3" fontId="46" fillId="0" borderId="0" xfId="332" applyNumberFormat="1" applyFont="1"/>
    <xf numFmtId="3" fontId="46" fillId="0" borderId="7" xfId="332" applyNumberFormat="1" applyFont="1" applyBorder="1"/>
    <xf numFmtId="0" fontId="50" fillId="34" borderId="136" xfId="332" applyFont="1" applyFill="1" applyBorder="1"/>
    <xf numFmtId="3" fontId="46" fillId="0" borderId="144" xfId="332" applyNumberFormat="1" applyFont="1" applyBorder="1"/>
    <xf numFmtId="3" fontId="46" fillId="0" borderId="139" xfId="332" applyNumberFormat="1" applyFont="1" applyBorder="1"/>
    <xf numFmtId="3" fontId="46" fillId="0" borderId="136" xfId="332" applyNumberFormat="1" applyFont="1" applyBorder="1"/>
    <xf numFmtId="3" fontId="47" fillId="30" borderId="127" xfId="332" applyNumberFormat="1" applyFont="1" applyFill="1" applyBorder="1"/>
    <xf numFmtId="3" fontId="50" fillId="0" borderId="0" xfId="332" applyNumberFormat="1" applyFont="1" applyAlignment="1">
      <alignment horizontal="right"/>
    </xf>
    <xf numFmtId="0" fontId="50" fillId="0" borderId="0" xfId="332" applyFont="1" applyAlignment="1">
      <alignment horizontal="right"/>
    </xf>
    <xf numFmtId="0" fontId="46" fillId="0" borderId="11" xfId="332" applyFont="1" applyBorder="1"/>
    <xf numFmtId="3" fontId="46" fillId="41" borderId="20" xfId="332" applyNumberFormat="1" applyFont="1" applyFill="1" applyBorder="1"/>
    <xf numFmtId="16" fontId="46" fillId="39" borderId="24" xfId="8" applyNumberFormat="1" applyFont="1" applyFill="1" applyBorder="1" applyAlignment="1">
      <alignment horizontal="center"/>
    </xf>
    <xf numFmtId="0" fontId="45" fillId="39" borderId="18" xfId="8" applyFont="1" applyFill="1" applyBorder="1"/>
    <xf numFmtId="0" fontId="47" fillId="39" borderId="10" xfId="8" applyFont="1" applyFill="1" applyBorder="1"/>
    <xf numFmtId="0" fontId="46" fillId="39" borderId="33" xfId="8" applyFont="1" applyFill="1" applyBorder="1" applyAlignment="1">
      <alignment horizontal="center"/>
    </xf>
    <xf numFmtId="0" fontId="46" fillId="39" borderId="127" xfId="8" applyFont="1" applyFill="1" applyBorder="1"/>
    <xf numFmtId="0" fontId="46" fillId="39" borderId="16" xfId="8" applyFont="1" applyFill="1" applyBorder="1" applyAlignment="1">
      <alignment horizontal="center"/>
    </xf>
    <xf numFmtId="0" fontId="47" fillId="34" borderId="1" xfId="8" applyFont="1" applyFill="1" applyBorder="1" applyAlignment="1">
      <alignment horizontal="right"/>
    </xf>
    <xf numFmtId="0" fontId="51" fillId="34" borderId="0" xfId="8" applyFont="1" applyFill="1"/>
    <xf numFmtId="4" fontId="51" fillId="32" borderId="34" xfId="8" applyNumberFormat="1" applyFont="1" applyFill="1" applyBorder="1" applyAlignment="1">
      <alignment horizontal="center"/>
    </xf>
    <xf numFmtId="3" fontId="86" fillId="32" borderId="34" xfId="8" applyNumberFormat="1" applyFont="1" applyFill="1" applyBorder="1" applyAlignment="1">
      <alignment horizontal="center"/>
    </xf>
    <xf numFmtId="3" fontId="47" fillId="32" borderId="34" xfId="8" applyNumberFormat="1" applyFont="1" applyFill="1" applyBorder="1"/>
    <xf numFmtId="0" fontId="46" fillId="6" borderId="144" xfId="8" applyFont="1" applyFill="1" applyBorder="1"/>
    <xf numFmtId="0" fontId="48" fillId="6" borderId="139" xfId="8" applyFont="1" applyFill="1" applyBorder="1"/>
    <xf numFmtId="3" fontId="46" fillId="6" borderId="143" xfId="8" applyNumberFormat="1" applyFont="1" applyFill="1" applyBorder="1"/>
    <xf numFmtId="3" fontId="46" fillId="6" borderId="34" xfId="8" applyNumberFormat="1" applyFont="1" applyFill="1" applyBorder="1"/>
    <xf numFmtId="3" fontId="46" fillId="6" borderId="144" xfId="8" applyNumberFormat="1" applyFont="1" applyFill="1" applyBorder="1"/>
    <xf numFmtId="3" fontId="46" fillId="6" borderId="139" xfId="8" applyNumberFormat="1" applyFont="1" applyFill="1" applyBorder="1"/>
    <xf numFmtId="3" fontId="46" fillId="6" borderId="136" xfId="8" applyNumberFormat="1" applyFont="1" applyFill="1" applyBorder="1"/>
    <xf numFmtId="4" fontId="51" fillId="32" borderId="140" xfId="8" applyNumberFormat="1" applyFont="1" applyFill="1" applyBorder="1" applyAlignment="1">
      <alignment horizontal="center"/>
    </xf>
    <xf numFmtId="4" fontId="47" fillId="32" borderId="34" xfId="8" applyNumberFormat="1" applyFont="1" applyFill="1" applyBorder="1"/>
    <xf numFmtId="3" fontId="48" fillId="6" borderId="139" xfId="8" applyNumberFormat="1" applyFont="1" applyFill="1" applyBorder="1"/>
    <xf numFmtId="3" fontId="46" fillId="6" borderId="35" xfId="8" applyNumberFormat="1" applyFont="1" applyFill="1" applyBorder="1"/>
    <xf numFmtId="3" fontId="48" fillId="6" borderId="144" xfId="8" applyNumberFormat="1" applyFont="1" applyFill="1" applyBorder="1"/>
    <xf numFmtId="3" fontId="48" fillId="6" borderId="136" xfId="8" applyNumberFormat="1" applyFont="1" applyFill="1" applyBorder="1"/>
    <xf numFmtId="0" fontId="46" fillId="6" borderId="1" xfId="8" applyFont="1" applyFill="1" applyBorder="1"/>
    <xf numFmtId="0" fontId="48" fillId="6" borderId="0" xfId="8" applyFont="1" applyFill="1"/>
    <xf numFmtId="3" fontId="46" fillId="6" borderId="1" xfId="8" applyNumberFormat="1" applyFont="1" applyFill="1" applyBorder="1"/>
    <xf numFmtId="168" fontId="46" fillId="32" borderId="15" xfId="8" applyNumberFormat="1" applyFont="1" applyFill="1" applyBorder="1"/>
    <xf numFmtId="168" fontId="46" fillId="32" borderId="34" xfId="8" applyNumberFormat="1" applyFont="1" applyFill="1" applyBorder="1"/>
    <xf numFmtId="4" fontId="47" fillId="32" borderId="1" xfId="8" applyNumberFormat="1" applyFont="1" applyFill="1" applyBorder="1"/>
    <xf numFmtId="4" fontId="47" fillId="32" borderId="0" xfId="8" applyNumberFormat="1" applyFont="1" applyFill="1"/>
    <xf numFmtId="4" fontId="47" fillId="32" borderId="7" xfId="8" applyNumberFormat="1" applyFont="1" applyFill="1" applyBorder="1"/>
    <xf numFmtId="3" fontId="47" fillId="34" borderId="191" xfId="8" quotePrefix="1" applyNumberFormat="1" applyFont="1" applyFill="1" applyBorder="1"/>
    <xf numFmtId="3" fontId="51" fillId="34" borderId="127" xfId="8" applyNumberFormat="1" applyFont="1" applyFill="1" applyBorder="1"/>
    <xf numFmtId="3" fontId="46" fillId="32" borderId="131" xfId="8" applyNumberFormat="1" applyFont="1" applyFill="1" applyBorder="1"/>
    <xf numFmtId="3" fontId="46" fillId="32" borderId="33" xfId="8" applyNumberFormat="1" applyFont="1" applyFill="1" applyBorder="1"/>
    <xf numFmtId="3" fontId="46" fillId="32" borderId="191" xfId="8" applyNumberFormat="1" applyFont="1" applyFill="1" applyBorder="1"/>
    <xf numFmtId="3" fontId="46" fillId="32" borderId="127" xfId="8" applyNumberFormat="1" applyFont="1" applyFill="1" applyBorder="1"/>
    <xf numFmtId="3" fontId="46" fillId="32" borderId="128" xfId="8" applyNumberFormat="1" applyFont="1" applyFill="1" applyBorder="1"/>
    <xf numFmtId="0" fontId="51" fillId="0" borderId="0" xfId="8" applyFont="1"/>
    <xf numFmtId="16" fontId="45" fillId="39" borderId="24" xfId="8" applyNumberFormat="1" applyFont="1" applyFill="1" applyBorder="1" applyAlignment="1">
      <alignment horizontal="center"/>
    </xf>
    <xf numFmtId="0" fontId="53" fillId="39" borderId="18" xfId="8" applyFont="1" applyFill="1" applyBorder="1"/>
    <xf numFmtId="0" fontId="47" fillId="39" borderId="18" xfId="8" applyFont="1" applyFill="1" applyBorder="1"/>
    <xf numFmtId="0" fontId="46" fillId="39" borderId="10" xfId="8" applyFont="1" applyFill="1" applyBorder="1" applyAlignment="1">
      <alignment vertical="center"/>
    </xf>
    <xf numFmtId="0" fontId="45" fillId="39" borderId="33" xfId="8" applyFont="1" applyFill="1" applyBorder="1" applyAlignment="1">
      <alignment horizontal="center"/>
    </xf>
    <xf numFmtId="0" fontId="53" fillId="39" borderId="127" xfId="8" applyFont="1" applyFill="1" applyBorder="1"/>
    <xf numFmtId="0" fontId="46" fillId="39" borderId="155" xfId="8" applyFont="1" applyFill="1" applyBorder="1" applyAlignment="1">
      <alignment vertical="center"/>
    </xf>
    <xf numFmtId="0" fontId="46" fillId="34" borderId="5" xfId="8" applyFont="1" applyFill="1" applyBorder="1"/>
    <xf numFmtId="4" fontId="51" fillId="34" borderId="6" xfId="8" applyNumberFormat="1" applyFont="1" applyFill="1" applyBorder="1" applyAlignment="1">
      <alignment horizontal="center"/>
    </xf>
    <xf numFmtId="0" fontId="46" fillId="34" borderId="0" xfId="8" applyFont="1" applyFill="1"/>
    <xf numFmtId="4" fontId="86" fillId="34" borderId="7" xfId="8" applyNumberFormat="1" applyFont="1" applyFill="1" applyBorder="1" applyAlignment="1">
      <alignment horizontal="center"/>
    </xf>
    <xf numFmtId="0" fontId="51" fillId="34" borderId="0" xfId="8" quotePrefix="1" applyFont="1" applyFill="1"/>
    <xf numFmtId="0" fontId="46" fillId="6" borderId="139" xfId="8" applyFont="1" applyFill="1" applyBorder="1"/>
    <xf numFmtId="3" fontId="46" fillId="6" borderId="1" xfId="8" applyNumberFormat="1" applyFont="1" applyFill="1" applyBorder="1" applyAlignment="1">
      <alignment horizontal="right"/>
    </xf>
    <xf numFmtId="4" fontId="47" fillId="34" borderId="0" xfId="8" applyNumberFormat="1" applyFont="1" applyFill="1" applyAlignment="1">
      <alignment horizontal="right"/>
    </xf>
    <xf numFmtId="4" fontId="47" fillId="34" borderId="7" xfId="8" applyNumberFormat="1" applyFont="1" applyFill="1" applyBorder="1" applyAlignment="1">
      <alignment horizontal="right"/>
    </xf>
    <xf numFmtId="4" fontId="47" fillId="32" borderId="1" xfId="8" applyNumberFormat="1" applyFont="1" applyFill="1" applyBorder="1" applyAlignment="1">
      <alignment horizontal="right"/>
    </xf>
    <xf numFmtId="4" fontId="47" fillId="32" borderId="0" xfId="8" applyNumberFormat="1" applyFont="1" applyFill="1" applyAlignment="1">
      <alignment horizontal="right"/>
    </xf>
    <xf numFmtId="4" fontId="47" fillId="32" borderId="7" xfId="8" applyNumberFormat="1" applyFont="1" applyFill="1" applyBorder="1" applyAlignment="1">
      <alignment horizontal="right"/>
    </xf>
    <xf numFmtId="3" fontId="47" fillId="34" borderId="191" xfId="8" applyNumberFormat="1" applyFont="1" applyFill="1" applyBorder="1"/>
    <xf numFmtId="3" fontId="46" fillId="34" borderId="127" xfId="8" applyNumberFormat="1" applyFont="1" applyFill="1" applyBorder="1" applyAlignment="1">
      <alignment horizontal="right"/>
    </xf>
    <xf numFmtId="3" fontId="46" fillId="34" borderId="128" xfId="8" applyNumberFormat="1" applyFont="1" applyFill="1" applyBorder="1" applyAlignment="1">
      <alignment horizontal="right"/>
    </xf>
    <xf numFmtId="0" fontId="46" fillId="39" borderId="9" xfId="8" applyFont="1" applyFill="1" applyBorder="1"/>
    <xf numFmtId="0" fontId="46" fillId="39" borderId="18" xfId="8" applyFont="1" applyFill="1" applyBorder="1"/>
    <xf numFmtId="172" fontId="46" fillId="0" borderId="21" xfId="35" applyNumberFormat="1" applyFont="1" applyFill="1" applyBorder="1" applyProtection="1"/>
    <xf numFmtId="0" fontId="46" fillId="0" borderId="0" xfId="8" applyFont="1"/>
    <xf numFmtId="0" fontId="48" fillId="0" borderId="0" xfId="31" applyFont="1" applyAlignment="1">
      <alignment horizontal="center"/>
    </xf>
    <xf numFmtId="168" fontId="46" fillId="0" borderId="0" xfId="35" applyNumberFormat="1" applyFont="1" applyFill="1" applyBorder="1" applyAlignment="1" applyProtection="1"/>
    <xf numFmtId="168" fontId="46" fillId="0" borderId="0" xfId="35" applyNumberFormat="1" applyFont="1" applyFill="1" applyBorder="1" applyAlignment="1" applyProtection="1">
      <alignment horizontal="center"/>
    </xf>
    <xf numFmtId="0" fontId="48" fillId="39" borderId="129" xfId="8" applyFont="1" applyFill="1" applyBorder="1"/>
    <xf numFmtId="0" fontId="79" fillId="39" borderId="127" xfId="8" applyFont="1" applyFill="1" applyBorder="1"/>
    <xf numFmtId="3" fontId="46" fillId="0" borderId="131" xfId="8" applyNumberFormat="1" applyFont="1" applyBorder="1"/>
    <xf numFmtId="3" fontId="46" fillId="0" borderId="0" xfId="35" applyNumberFormat="1" applyFont="1" applyFill="1" applyBorder="1" applyAlignment="1" applyProtection="1"/>
    <xf numFmtId="173" fontId="46" fillId="0" borderId="0" xfId="35" applyNumberFormat="1" applyFont="1" applyFill="1" applyBorder="1" applyAlignment="1" applyProtection="1"/>
    <xf numFmtId="3" fontId="46" fillId="0" borderId="0" xfId="35" applyNumberFormat="1" applyFont="1" applyFill="1" applyBorder="1" applyAlignment="1" applyProtection="1">
      <alignment horizontal="center"/>
    </xf>
    <xf numFmtId="173" fontId="46" fillId="0" borderId="131" xfId="8" applyNumberFormat="1" applyFont="1" applyBorder="1"/>
    <xf numFmtId="0" fontId="47" fillId="0" borderId="0" xfId="8" quotePrefix="1" applyFont="1"/>
    <xf numFmtId="3" fontId="47" fillId="32" borderId="191" xfId="8" applyNumberFormat="1" applyFont="1" applyFill="1" applyBorder="1"/>
    <xf numFmtId="0" fontId="102" fillId="34" borderId="5" xfId="332" applyFont="1" applyFill="1" applyBorder="1"/>
    <xf numFmtId="3" fontId="102" fillId="32" borderId="4" xfId="332" applyNumberFormat="1" applyFont="1" applyFill="1" applyBorder="1"/>
    <xf numFmtId="3" fontId="102" fillId="32" borderId="5" xfId="332" applyNumberFormat="1" applyFont="1" applyFill="1" applyBorder="1"/>
    <xf numFmtId="3" fontId="102" fillId="32" borderId="6" xfId="332" applyNumberFormat="1" applyFont="1" applyFill="1" applyBorder="1"/>
    <xf numFmtId="0" fontId="102" fillId="34" borderId="0" xfId="332" applyFont="1" applyFill="1"/>
    <xf numFmtId="0" fontId="102" fillId="34" borderId="178" xfId="332" applyFont="1" applyFill="1" applyBorder="1"/>
    <xf numFmtId="3" fontId="102" fillId="32" borderId="153" xfId="332" applyNumberFormat="1" applyFont="1" applyFill="1" applyBorder="1"/>
    <xf numFmtId="3" fontId="102" fillId="32" borderId="176" xfId="332" applyNumberFormat="1" applyFont="1" applyFill="1" applyBorder="1"/>
    <xf numFmtId="3" fontId="102" fillId="32" borderId="154" xfId="332" applyNumberFormat="1" applyFont="1" applyFill="1" applyBorder="1"/>
    <xf numFmtId="0" fontId="102" fillId="34" borderId="142" xfId="332" applyFont="1" applyFill="1" applyBorder="1"/>
    <xf numFmtId="3" fontId="102" fillId="32" borderId="144" xfId="332" applyNumberFormat="1" applyFont="1" applyFill="1" applyBorder="1"/>
    <xf numFmtId="3" fontId="102" fillId="32" borderId="139" xfId="332" applyNumberFormat="1" applyFont="1" applyFill="1" applyBorder="1"/>
    <xf numFmtId="3" fontId="102" fillId="32" borderId="136" xfId="332" applyNumberFormat="1" applyFont="1" applyFill="1" applyBorder="1"/>
    <xf numFmtId="3" fontId="46" fillId="6" borderId="192" xfId="332" applyNumberFormat="1" applyFont="1" applyFill="1" applyBorder="1"/>
    <xf numFmtId="0" fontId="50" fillId="39" borderId="7" xfId="332" applyFont="1" applyFill="1" applyBorder="1"/>
    <xf numFmtId="3" fontId="103" fillId="34" borderId="6" xfId="332" applyNumberFormat="1" applyFont="1" applyFill="1" applyBorder="1"/>
    <xf numFmtId="3" fontId="103" fillId="34" borderId="7" xfId="332" applyNumberFormat="1" applyFont="1" applyFill="1" applyBorder="1"/>
    <xf numFmtId="0" fontId="102" fillId="34" borderId="132" xfId="332" applyFont="1" applyFill="1" applyBorder="1"/>
    <xf numFmtId="3" fontId="103" fillId="34" borderId="154" xfId="332" applyNumberFormat="1" applyFont="1" applyFill="1" applyBorder="1"/>
    <xf numFmtId="0" fontId="102" fillId="34" borderId="146" xfId="332" applyFont="1" applyFill="1" applyBorder="1"/>
    <xf numFmtId="3" fontId="103" fillId="34" borderId="136" xfId="332" applyNumberFormat="1" applyFont="1" applyFill="1" applyBorder="1"/>
    <xf numFmtId="0" fontId="46" fillId="0" borderId="0" xfId="332" applyFont="1" applyAlignment="1">
      <alignment vertical="center" wrapText="1"/>
    </xf>
    <xf numFmtId="0" fontId="51" fillId="2" borderId="29" xfId="332" applyFont="1" applyFill="1" applyBorder="1" applyAlignment="1">
      <alignment horizontal="center" vertical="center" wrapText="1"/>
    </xf>
    <xf numFmtId="0" fontId="48" fillId="2" borderId="27" xfId="332" applyFont="1" applyFill="1" applyBorder="1" applyAlignment="1">
      <alignment horizontal="right" vertical="center" wrapText="1"/>
    </xf>
    <xf numFmtId="0" fontId="104" fillId="2" borderId="16" xfId="332" applyFont="1" applyFill="1" applyBorder="1" applyAlignment="1">
      <alignment horizontal="center" vertical="center" wrapText="1"/>
    </xf>
    <xf numFmtId="3" fontId="51" fillId="32" borderId="29" xfId="332" applyNumberFormat="1" applyFont="1" applyFill="1" applyBorder="1" applyAlignment="1">
      <alignment horizontal="right" wrapText="1"/>
    </xf>
    <xf numFmtId="3" fontId="51" fillId="32" borderId="137" xfId="332" applyNumberFormat="1" applyFont="1" applyFill="1" applyBorder="1" applyAlignment="1">
      <alignment horizontal="right" wrapText="1"/>
    </xf>
    <xf numFmtId="3" fontId="51" fillId="32" borderId="138" xfId="332" applyNumberFormat="1" applyFont="1" applyFill="1" applyBorder="1" applyAlignment="1">
      <alignment horizontal="right" wrapText="1"/>
    </xf>
    <xf numFmtId="167" fontId="51" fillId="32" borderId="33" xfId="332" applyNumberFormat="1" applyFont="1" applyFill="1" applyBorder="1" applyAlignment="1">
      <alignment horizontal="center" vertical="center" wrapText="1"/>
    </xf>
    <xf numFmtId="0" fontId="51" fillId="0" borderId="5" xfId="332" applyFont="1" applyBorder="1" applyAlignment="1">
      <alignment horizontal="center" wrapText="1"/>
    </xf>
    <xf numFmtId="168" fontId="51" fillId="32" borderId="18" xfId="35" applyNumberFormat="1" applyFont="1" applyFill="1" applyBorder="1" applyAlignment="1" applyProtection="1">
      <alignment horizontal="right" wrapText="1"/>
    </xf>
    <xf numFmtId="1" fontId="51" fillId="32" borderId="18" xfId="332" applyNumberFormat="1" applyFont="1" applyFill="1" applyBorder="1" applyAlignment="1">
      <alignment horizontal="right" wrapText="1"/>
    </xf>
    <xf numFmtId="3" fontId="51" fillId="32" borderId="10" xfId="332" applyNumberFormat="1" applyFont="1" applyFill="1" applyBorder="1" applyAlignment="1">
      <alignment horizontal="right" wrapText="1"/>
    </xf>
    <xf numFmtId="0" fontId="48" fillId="2" borderId="157" xfId="332" applyFont="1" applyFill="1" applyBorder="1" applyAlignment="1">
      <alignment horizontal="right" vertical="center" wrapText="1"/>
    </xf>
    <xf numFmtId="0" fontId="48" fillId="2" borderId="158" xfId="332" applyFont="1" applyFill="1" applyBorder="1" applyAlignment="1">
      <alignment horizontal="center" vertical="center" wrapText="1"/>
    </xf>
    <xf numFmtId="0" fontId="104" fillId="2" borderId="159" xfId="332" applyFont="1" applyFill="1" applyBorder="1" applyAlignment="1">
      <alignment horizontal="center" vertical="center" wrapText="1"/>
    </xf>
    <xf numFmtId="0" fontId="51" fillId="2" borderId="157" xfId="332" applyFont="1" applyFill="1" applyBorder="1" applyAlignment="1">
      <alignment horizontal="center" wrapText="1"/>
    </xf>
    <xf numFmtId="168" fontId="51" fillId="32" borderId="17" xfId="35" applyNumberFormat="1" applyFont="1" applyFill="1" applyBorder="1" applyAlignment="1" applyProtection="1">
      <alignment horizontal="right" wrapText="1"/>
    </xf>
    <xf numFmtId="1" fontId="51" fillId="32" borderId="17" xfId="332" applyNumberFormat="1" applyFont="1" applyFill="1" applyBorder="1" applyAlignment="1">
      <alignment horizontal="right" wrapText="1"/>
    </xf>
    <xf numFmtId="3" fontId="51" fillId="32" borderId="31" xfId="332" applyNumberFormat="1" applyFont="1" applyFill="1" applyBorder="1" applyAlignment="1">
      <alignment horizontal="right" wrapText="1"/>
    </xf>
    <xf numFmtId="3" fontId="51" fillId="32" borderId="32" xfId="332" applyNumberFormat="1" applyFont="1" applyFill="1" applyBorder="1" applyAlignment="1">
      <alignment horizontal="right" wrapText="1"/>
    </xf>
    <xf numFmtId="1" fontId="51" fillId="32" borderId="143" xfId="332" applyNumberFormat="1" applyFont="1" applyFill="1" applyBorder="1" applyAlignment="1">
      <alignment horizontal="right" wrapText="1"/>
    </xf>
    <xf numFmtId="3" fontId="51" fillId="32" borderId="36" xfId="332" applyNumberFormat="1" applyFont="1" applyFill="1" applyBorder="1" applyAlignment="1">
      <alignment horizontal="right" wrapText="1"/>
    </xf>
    <xf numFmtId="1" fontId="51" fillId="32" borderId="0" xfId="332" applyNumberFormat="1" applyFont="1" applyFill="1" applyAlignment="1">
      <alignment horizontal="right" wrapText="1"/>
    </xf>
    <xf numFmtId="3" fontId="51" fillId="32" borderId="7" xfId="332" applyNumberFormat="1" applyFont="1" applyFill="1" applyBorder="1" applyAlignment="1">
      <alignment horizontal="right" wrapText="1"/>
    </xf>
    <xf numFmtId="3" fontId="51" fillId="32" borderId="17" xfId="332" applyNumberFormat="1" applyFont="1" applyFill="1" applyBorder="1" applyAlignment="1">
      <alignment horizontal="right" wrapText="1"/>
    </xf>
    <xf numFmtId="3" fontId="51" fillId="32" borderId="0" xfId="332" applyNumberFormat="1" applyFont="1" applyFill="1" applyAlignment="1">
      <alignment horizontal="right" wrapText="1"/>
    </xf>
    <xf numFmtId="0" fontId="51" fillId="2" borderId="27" xfId="332" applyFont="1" applyFill="1" applyBorder="1" applyAlignment="1">
      <alignment horizontal="center" wrapText="1"/>
    </xf>
    <xf numFmtId="3" fontId="51" fillId="32" borderId="133" xfId="332" applyNumberFormat="1" applyFont="1" applyFill="1" applyBorder="1" applyAlignment="1">
      <alignment horizontal="right" wrapText="1"/>
    </xf>
    <xf numFmtId="3" fontId="51" fillId="32" borderId="127" xfId="332" applyNumberFormat="1" applyFont="1" applyFill="1" applyBorder="1" applyAlignment="1">
      <alignment horizontal="right" wrapText="1"/>
    </xf>
    <xf numFmtId="1" fontId="51" fillId="32" borderId="127" xfId="332" applyNumberFormat="1" applyFont="1" applyFill="1" applyBorder="1" applyAlignment="1">
      <alignment horizontal="right" wrapText="1"/>
    </xf>
    <xf numFmtId="3" fontId="51" fillId="32" borderId="128" xfId="332" applyNumberFormat="1" applyFont="1" applyFill="1" applyBorder="1" applyAlignment="1">
      <alignment horizontal="right" wrapText="1"/>
    </xf>
    <xf numFmtId="3" fontId="51" fillId="32" borderId="157" xfId="332" applyNumberFormat="1" applyFont="1" applyFill="1" applyBorder="1" applyAlignment="1">
      <alignment horizontal="right" wrapText="1"/>
    </xf>
    <xf numFmtId="3" fontId="51" fillId="32" borderId="158" xfId="332" applyNumberFormat="1" applyFont="1" applyFill="1" applyBorder="1" applyAlignment="1">
      <alignment horizontal="right" wrapText="1"/>
    </xf>
    <xf numFmtId="3" fontId="51" fillId="32" borderId="159" xfId="332" applyNumberFormat="1" applyFont="1" applyFill="1" applyBorder="1" applyAlignment="1">
      <alignment horizontal="right" wrapText="1"/>
    </xf>
    <xf numFmtId="3" fontId="51" fillId="32" borderId="134" xfId="332" applyNumberFormat="1" applyFont="1" applyFill="1" applyBorder="1" applyAlignment="1">
      <alignment horizontal="right" wrapText="1"/>
    </xf>
    <xf numFmtId="3" fontId="51" fillId="32" borderId="178" xfId="332" applyNumberFormat="1" applyFont="1" applyFill="1" applyBorder="1" applyAlignment="1">
      <alignment horizontal="right" wrapText="1"/>
    </xf>
    <xf numFmtId="3" fontId="51" fillId="32" borderId="130" xfId="332" applyNumberFormat="1" applyFont="1" applyFill="1" applyBorder="1" applyAlignment="1">
      <alignment horizontal="right" wrapText="1"/>
    </xf>
    <xf numFmtId="167" fontId="51" fillId="32" borderId="139" xfId="332" applyNumberFormat="1" applyFont="1" applyFill="1" applyBorder="1" applyAlignment="1">
      <alignment horizontal="right" wrapText="1"/>
    </xf>
    <xf numFmtId="0" fontId="51" fillId="0" borderId="1" xfId="332" applyFont="1" applyBorder="1" applyAlignment="1">
      <alignment horizontal="center" wrapText="1"/>
    </xf>
    <xf numFmtId="3" fontId="51" fillId="32" borderId="145" xfId="332" applyNumberFormat="1" applyFont="1" applyFill="1" applyBorder="1" applyAlignment="1">
      <alignment horizontal="right" wrapText="1"/>
    </xf>
    <xf numFmtId="0" fontId="48" fillId="36" borderId="4" xfId="332" applyFont="1" applyFill="1" applyBorder="1" applyAlignment="1">
      <alignment horizontal="center" vertical="center" wrapText="1"/>
    </xf>
    <xf numFmtId="0" fontId="48" fillId="36" borderId="5" xfId="332" applyFont="1" applyFill="1" applyBorder="1" applyAlignment="1">
      <alignment horizontal="center" vertical="center" wrapText="1"/>
    </xf>
    <xf numFmtId="0" fontId="48" fillId="36" borderId="6" xfId="332" applyFont="1" applyFill="1" applyBorder="1" applyAlignment="1">
      <alignment horizontal="center" vertical="center" wrapText="1"/>
    </xf>
    <xf numFmtId="0" fontId="47" fillId="34" borderId="39" xfId="332" applyFont="1" applyFill="1" applyBorder="1"/>
    <xf numFmtId="0" fontId="51" fillId="0" borderId="39" xfId="332" applyFont="1" applyBorder="1" applyAlignment="1">
      <alignment horizontal="center" wrapText="1"/>
    </xf>
    <xf numFmtId="167" fontId="51" fillId="0" borderId="21" xfId="332" applyNumberFormat="1" applyFont="1" applyBorder="1" applyAlignment="1">
      <alignment horizontal="right" wrapText="1"/>
    </xf>
    <xf numFmtId="0" fontId="47" fillId="34" borderId="158" xfId="332" applyFont="1" applyFill="1" applyBorder="1"/>
    <xf numFmtId="0" fontId="51" fillId="0" borderId="158" xfId="332" applyFont="1" applyBorder="1" applyAlignment="1">
      <alignment horizontal="center" wrapText="1"/>
    </xf>
    <xf numFmtId="167" fontId="51" fillId="0" borderId="159" xfId="332" applyNumberFormat="1" applyFont="1" applyBorder="1" applyAlignment="1">
      <alignment horizontal="right" wrapText="1"/>
    </xf>
    <xf numFmtId="0" fontId="47" fillId="34" borderId="28" xfId="332" applyFont="1" applyFill="1" applyBorder="1"/>
    <xf numFmtId="0" fontId="51" fillId="0" borderId="28" xfId="332" applyFont="1" applyBorder="1" applyAlignment="1">
      <alignment horizontal="center" wrapText="1"/>
    </xf>
    <xf numFmtId="167" fontId="51" fillId="0" borderId="16" xfId="332" applyNumberFormat="1" applyFont="1" applyBorder="1" applyAlignment="1">
      <alignment horizontal="right" wrapText="1"/>
    </xf>
    <xf numFmtId="49" fontId="3" fillId="0" borderId="0" xfId="0" quotePrefix="1" applyNumberFormat="1" applyFont="1"/>
    <xf numFmtId="0" fontId="104" fillId="0" borderId="0" xfId="332" applyFont="1" applyAlignment="1">
      <alignment horizontal="left"/>
    </xf>
    <xf numFmtId="0" fontId="46" fillId="46" borderId="193" xfId="332" applyFont="1" applyFill="1" applyBorder="1" applyAlignment="1">
      <alignment horizontal="center"/>
    </xf>
    <xf numFmtId="3" fontId="46" fillId="36" borderId="193" xfId="332" applyNumberFormat="1" applyFont="1" applyFill="1" applyBorder="1"/>
    <xf numFmtId="0" fontId="48" fillId="47" borderId="34" xfId="332" applyFont="1" applyFill="1" applyBorder="1" applyAlignment="1">
      <alignment horizontal="center" vertical="center" wrapText="1"/>
    </xf>
    <xf numFmtId="0" fontId="48" fillId="47" borderId="33" xfId="332" applyFont="1" applyFill="1" applyBorder="1" applyAlignment="1">
      <alignment horizontal="center" vertical="center" wrapText="1"/>
    </xf>
    <xf numFmtId="169" fontId="54" fillId="0" borderId="0" xfId="0" applyNumberFormat="1" applyFont="1" applyProtection="1">
      <protection locked="0"/>
    </xf>
    <xf numFmtId="0" fontId="48" fillId="40" borderId="29" xfId="332" applyFont="1" applyFill="1" applyBorder="1" applyAlignment="1">
      <alignment horizontal="center" vertical="center" wrapText="1"/>
    </xf>
    <xf numFmtId="0" fontId="48" fillId="40" borderId="39" xfId="332" applyFont="1" applyFill="1" applyBorder="1" applyAlignment="1">
      <alignment horizontal="center" vertical="center" wrapText="1"/>
    </xf>
    <xf numFmtId="0" fontId="48" fillId="40" borderId="21" xfId="332" applyFont="1" applyFill="1" applyBorder="1" applyAlignment="1">
      <alignment horizontal="center" vertical="center" wrapText="1"/>
    </xf>
    <xf numFmtId="3" fontId="51" fillId="37" borderId="27" xfId="332" applyNumberFormat="1" applyFont="1" applyFill="1" applyBorder="1" applyAlignment="1">
      <alignment vertical="center" wrapText="1"/>
    </xf>
    <xf numFmtId="0" fontId="51" fillId="2" borderId="12" xfId="332" applyFont="1" applyFill="1" applyBorder="1" applyAlignment="1">
      <alignment horizontal="right" vertical="center" wrapText="1"/>
    </xf>
    <xf numFmtId="0" fontId="48" fillId="2" borderId="10" xfId="332" applyFont="1" applyFill="1" applyBorder="1" applyAlignment="1">
      <alignment horizontal="right" wrapText="1"/>
    </xf>
    <xf numFmtId="0" fontId="51" fillId="2" borderId="31" xfId="332" applyFont="1" applyFill="1" applyBorder="1" applyAlignment="1">
      <alignment horizontal="right" wrapText="1"/>
    </xf>
    <xf numFmtId="0" fontId="51" fillId="2" borderId="31" xfId="332" applyFont="1" applyFill="1" applyBorder="1" applyAlignment="1">
      <alignment horizontal="right" vertical="center" wrapText="1"/>
    </xf>
    <xf numFmtId="0" fontId="48" fillId="2" borderId="31" xfId="332" applyFont="1" applyFill="1" applyBorder="1" applyAlignment="1">
      <alignment horizontal="right" wrapText="1"/>
    </xf>
    <xf numFmtId="0" fontId="51" fillId="2" borderId="155" xfId="332" applyFont="1" applyFill="1" applyBorder="1" applyAlignment="1">
      <alignment horizontal="right" wrapText="1"/>
    </xf>
    <xf numFmtId="0" fontId="51" fillId="2" borderId="155" xfId="332" applyFont="1" applyFill="1" applyBorder="1" applyAlignment="1">
      <alignment horizontal="right" vertical="center" wrapText="1"/>
    </xf>
    <xf numFmtId="0" fontId="51" fillId="2" borderId="10" xfId="332" applyFont="1" applyFill="1" applyBorder="1" applyAlignment="1">
      <alignment horizontal="right" wrapText="1"/>
    </xf>
    <xf numFmtId="0" fontId="51" fillId="40" borderId="10" xfId="332" applyFont="1" applyFill="1" applyBorder="1" applyAlignment="1">
      <alignment horizontal="right" vertical="center" wrapText="1"/>
    </xf>
    <xf numFmtId="0" fontId="51" fillId="37" borderId="31" xfId="332" applyFont="1" applyFill="1" applyBorder="1" applyAlignment="1">
      <alignment horizontal="right" vertical="center" wrapText="1"/>
    </xf>
    <xf numFmtId="0" fontId="51" fillId="37" borderId="155" xfId="332" applyFont="1" applyFill="1" applyBorder="1" applyAlignment="1">
      <alignment horizontal="right" vertical="center" wrapText="1"/>
    </xf>
    <xf numFmtId="0" fontId="109" fillId="2" borderId="0" xfId="0" applyFont="1" applyFill="1"/>
    <xf numFmtId="2" fontId="55" fillId="3" borderId="91" xfId="0" applyNumberFormat="1" applyFont="1" applyFill="1" applyBorder="1" applyAlignment="1" applyProtection="1">
      <alignment horizontal="center"/>
      <protection locked="0"/>
    </xf>
    <xf numFmtId="10" fontId="54" fillId="0" borderId="0" xfId="0" applyNumberFormat="1" applyFont="1" applyProtection="1">
      <protection locked="0"/>
    </xf>
    <xf numFmtId="0" fontId="54" fillId="0" borderId="0" xfId="0" applyFont="1" applyAlignment="1" applyProtection="1">
      <alignment horizontal="right"/>
      <protection locked="0"/>
    </xf>
    <xf numFmtId="183" fontId="54" fillId="0" borderId="100" xfId="35" applyNumberFormat="1" applyFont="1" applyFill="1" applyBorder="1" applyAlignment="1" applyProtection="1">
      <alignment horizontal="center" vertical="center"/>
    </xf>
    <xf numFmtId="0" fontId="54" fillId="47" borderId="73" xfId="0" applyFont="1" applyFill="1" applyBorder="1"/>
    <xf numFmtId="0" fontId="54" fillId="47" borderId="55" xfId="0" applyFont="1" applyFill="1" applyBorder="1"/>
    <xf numFmtId="0" fontId="54" fillId="47" borderId="56" xfId="0" applyFont="1" applyFill="1" applyBorder="1"/>
    <xf numFmtId="0" fontId="53" fillId="47" borderId="75" xfId="0" applyFont="1" applyFill="1" applyBorder="1"/>
    <xf numFmtId="0" fontId="53" fillId="47" borderId="126" xfId="0" applyFont="1" applyFill="1" applyBorder="1"/>
    <xf numFmtId="0" fontId="54" fillId="47" borderId="126" xfId="0" applyFont="1" applyFill="1" applyBorder="1"/>
    <xf numFmtId="0" fontId="54" fillId="47" borderId="57" xfId="0" applyFont="1" applyFill="1" applyBorder="1"/>
    <xf numFmtId="0" fontId="54" fillId="47" borderId="75" xfId="0" applyFont="1" applyFill="1" applyBorder="1"/>
    <xf numFmtId="0" fontId="54" fillId="47" borderId="0" xfId="0" applyFont="1" applyFill="1"/>
    <xf numFmtId="0" fontId="54" fillId="47" borderId="57" xfId="0" applyFont="1" applyFill="1" applyBorder="1" applyAlignment="1">
      <alignment horizontal="left"/>
    </xf>
    <xf numFmtId="10" fontId="54" fillId="47" borderId="57" xfId="333" applyNumberFormat="1" applyFont="1" applyFill="1" applyBorder="1" applyAlignment="1" applyProtection="1">
      <alignment horizontal="center"/>
    </xf>
    <xf numFmtId="0" fontId="64" fillId="47" borderId="0" xfId="0" applyFont="1" applyFill="1" applyAlignment="1" applyProtection="1">
      <alignment horizontal="center" vertical="center"/>
      <protection hidden="1"/>
    </xf>
    <xf numFmtId="0" fontId="64" fillId="47" borderId="0" xfId="0" applyFont="1" applyFill="1" applyProtection="1">
      <protection hidden="1"/>
    </xf>
    <xf numFmtId="170" fontId="64" fillId="47" borderId="0" xfId="0" applyNumberFormat="1" applyFont="1" applyFill="1" applyProtection="1">
      <protection hidden="1"/>
    </xf>
    <xf numFmtId="0" fontId="64" fillId="47" borderId="0" xfId="0" applyFont="1" applyFill="1" applyAlignment="1">
      <alignment horizontal="center" vertical="center"/>
    </xf>
    <xf numFmtId="0" fontId="64" fillId="47" borderId="0" xfId="0" applyFont="1" applyFill="1"/>
    <xf numFmtId="0" fontId="61" fillId="47" borderId="0" xfId="0" applyFont="1" applyFill="1"/>
    <xf numFmtId="0" fontId="61" fillId="47" borderId="58" xfId="0" applyFont="1" applyFill="1" applyBorder="1"/>
    <xf numFmtId="0" fontId="61" fillId="47" borderId="59" xfId="0" applyFont="1" applyFill="1" applyBorder="1"/>
    <xf numFmtId="0" fontId="61" fillId="47" borderId="60" xfId="0" applyFont="1" applyFill="1" applyBorder="1"/>
    <xf numFmtId="0" fontId="54" fillId="0" borderId="99" xfId="0" applyFont="1" applyBorder="1" applyAlignment="1">
      <alignment horizontal="center" vertical="center"/>
    </xf>
    <xf numFmtId="0" fontId="54" fillId="0" borderId="100" xfId="0" applyFont="1" applyBorder="1" applyAlignment="1">
      <alignment horizontal="center" vertical="center" wrapText="1"/>
    </xf>
    <xf numFmtId="4" fontId="51" fillId="32" borderId="141" xfId="332" applyNumberFormat="1" applyFont="1" applyFill="1" applyBorder="1" applyAlignment="1">
      <alignment vertical="center" wrapText="1"/>
    </xf>
    <xf numFmtId="4" fontId="51" fillId="32" borderId="23" xfId="332" applyNumberFormat="1" applyFont="1" applyFill="1" applyBorder="1" applyAlignment="1">
      <alignment vertical="center" wrapText="1"/>
    </xf>
    <xf numFmtId="4" fontId="51" fillId="32" borderId="23" xfId="332" applyNumberFormat="1" applyFont="1" applyFill="1" applyBorder="1" applyAlignment="1">
      <alignment horizontal="right" vertical="center" wrapText="1"/>
    </xf>
    <xf numFmtId="4" fontId="49" fillId="0" borderId="23" xfId="8" applyNumberFormat="1" applyFont="1" applyBorder="1"/>
    <xf numFmtId="4" fontId="49" fillId="0" borderId="20" xfId="8" applyNumberFormat="1" applyFont="1" applyBorder="1"/>
    <xf numFmtId="0" fontId="48" fillId="2" borderId="198" xfId="332" applyFont="1" applyFill="1" applyBorder="1" applyAlignment="1">
      <alignment horizontal="center" vertical="center" wrapText="1"/>
    </xf>
    <xf numFmtId="4" fontId="49" fillId="0" borderId="198" xfId="8" applyNumberFormat="1" applyFont="1" applyBorder="1"/>
    <xf numFmtId="0" fontId="48" fillId="2" borderId="25" xfId="332" applyFont="1" applyFill="1" applyBorder="1" applyAlignment="1">
      <alignment horizontal="center" vertical="center" wrapText="1"/>
    </xf>
    <xf numFmtId="182" fontId="54" fillId="0" borderId="201" xfId="35" applyNumberFormat="1" applyFont="1" applyFill="1" applyBorder="1" applyAlignment="1" applyProtection="1">
      <alignment horizontal="center" vertical="center"/>
    </xf>
    <xf numFmtId="182" fontId="54" fillId="0" borderId="203" xfId="35" applyNumberFormat="1" applyFont="1" applyFill="1" applyBorder="1" applyAlignment="1" applyProtection="1">
      <alignment horizontal="center" vertical="center"/>
    </xf>
    <xf numFmtId="182" fontId="54" fillId="0" borderId="62" xfId="35" applyNumberFormat="1" applyFont="1" applyFill="1" applyBorder="1" applyAlignment="1" applyProtection="1">
      <alignment horizontal="center" vertical="center"/>
    </xf>
    <xf numFmtId="182" fontId="60" fillId="47" borderId="0" xfId="0" applyNumberFormat="1" applyFont="1" applyFill="1" applyProtection="1">
      <protection hidden="1"/>
    </xf>
    <xf numFmtId="10" fontId="54" fillId="47" borderId="0" xfId="333" applyNumberFormat="1" applyFont="1" applyFill="1" applyBorder="1" applyAlignment="1" applyProtection="1">
      <alignment horizontal="center"/>
    </xf>
    <xf numFmtId="10" fontId="54" fillId="47" borderId="57" xfId="333" applyNumberFormat="1" applyFont="1" applyFill="1" applyBorder="1" applyAlignment="1" applyProtection="1">
      <alignment horizontal="left"/>
    </xf>
    <xf numFmtId="0" fontId="61" fillId="47" borderId="0" xfId="0" applyFont="1" applyFill="1" applyAlignment="1">
      <alignment horizontal="left" vertical="top" wrapText="1"/>
    </xf>
    <xf numFmtId="0" fontId="54" fillId="0" borderId="61" xfId="0" applyFont="1" applyBorder="1" applyAlignment="1">
      <alignment horizontal="center"/>
    </xf>
    <xf numFmtId="182" fontId="54" fillId="0" borderId="203" xfId="35" applyNumberFormat="1" applyFont="1" applyFill="1" applyBorder="1" applyAlignment="1">
      <alignment horizontal="center"/>
    </xf>
    <xf numFmtId="182" fontId="54" fillId="0" borderId="205" xfId="35" applyNumberFormat="1" applyFont="1" applyFill="1" applyBorder="1" applyAlignment="1">
      <alignment horizontal="center"/>
    </xf>
    <xf numFmtId="182" fontId="54" fillId="0" borderId="208" xfId="35" applyNumberFormat="1" applyFont="1" applyFill="1" applyBorder="1" applyAlignment="1">
      <alignment horizontal="center"/>
    </xf>
    <xf numFmtId="4" fontId="51" fillId="32" borderId="198" xfId="332" applyNumberFormat="1" applyFont="1" applyFill="1" applyBorder="1" applyAlignment="1">
      <alignment vertical="center" wrapText="1"/>
    </xf>
    <xf numFmtId="0" fontId="64" fillId="47" borderId="0" xfId="0" applyFont="1" applyFill="1" applyAlignment="1">
      <alignment vertical="center"/>
    </xf>
    <xf numFmtId="0" fontId="64" fillId="47" borderId="0" xfId="0" applyFont="1" applyFill="1" applyAlignment="1" applyProtection="1">
      <alignment vertical="center"/>
      <protection hidden="1"/>
    </xf>
    <xf numFmtId="0" fontId="51" fillId="32" borderId="144" xfId="332" applyFont="1" applyFill="1" applyBorder="1" applyAlignment="1">
      <alignment horizontal="left" vertical="center"/>
    </xf>
    <xf numFmtId="0" fontId="51" fillId="32" borderId="19" xfId="332" applyFont="1" applyFill="1" applyBorder="1" applyAlignment="1">
      <alignment horizontal="left" vertical="center"/>
    </xf>
    <xf numFmtId="0" fontId="51" fillId="32" borderId="13" xfId="332" applyFont="1" applyFill="1" applyBorder="1" applyAlignment="1">
      <alignment horizontal="left" vertical="center"/>
    </xf>
    <xf numFmtId="0" fontId="61" fillId="2" borderId="0" xfId="0" applyFont="1" applyFill="1" applyAlignment="1">
      <alignment horizontal="left" wrapText="1"/>
    </xf>
    <xf numFmtId="0" fontId="61" fillId="2" borderId="57" xfId="0" applyFont="1" applyFill="1" applyBorder="1" applyAlignment="1">
      <alignment horizontal="left" wrapText="1"/>
    </xf>
    <xf numFmtId="0" fontId="53" fillId="3" borderId="89" xfId="0" applyFont="1" applyFill="1" applyBorder="1" applyAlignment="1" applyProtection="1">
      <alignment horizontal="left" vertical="center"/>
      <protection locked="0"/>
    </xf>
    <xf numFmtId="0" fontId="53" fillId="3" borderId="92" xfId="0" applyFont="1" applyFill="1" applyBorder="1" applyAlignment="1" applyProtection="1">
      <alignment horizontal="left" vertical="center"/>
      <protection locked="0"/>
    </xf>
    <xf numFmtId="0" fontId="53" fillId="3" borderId="93" xfId="0" applyFont="1" applyFill="1" applyBorder="1" applyAlignment="1" applyProtection="1">
      <alignment horizontal="left" vertical="center"/>
      <protection locked="0"/>
    </xf>
    <xf numFmtId="0" fontId="59" fillId="38" borderId="0" xfId="0" applyFont="1" applyFill="1" applyAlignment="1">
      <alignment horizontal="left" vertical="center" wrapText="1"/>
    </xf>
    <xf numFmtId="0" fontId="54" fillId="38" borderId="75" xfId="0" applyFont="1" applyFill="1" applyBorder="1" applyAlignment="1">
      <alignment horizontal="center" vertical="center" wrapText="1"/>
    </xf>
    <xf numFmtId="0" fontId="54" fillId="3" borderId="94" xfId="0" applyFont="1" applyFill="1" applyBorder="1" applyAlignment="1" applyProtection="1">
      <alignment horizontal="left" vertical="top" wrapText="1"/>
      <protection locked="0"/>
    </xf>
    <xf numFmtId="0" fontId="54" fillId="0" borderId="87" xfId="0" applyFont="1" applyBorder="1" applyAlignment="1" applyProtection="1">
      <alignment vertical="top"/>
      <protection locked="0"/>
    </xf>
    <xf numFmtId="0" fontId="54" fillId="0" borderId="95" xfId="0" applyFont="1" applyBorder="1" applyAlignment="1" applyProtection="1">
      <alignment vertical="top"/>
      <protection locked="0"/>
    </xf>
    <xf numFmtId="0" fontId="54" fillId="0" borderId="86" xfId="0" applyFont="1" applyBorder="1" applyAlignment="1" applyProtection="1">
      <alignment vertical="top"/>
      <protection locked="0"/>
    </xf>
    <xf numFmtId="0" fontId="54" fillId="0" borderId="0" xfId="0" applyFont="1" applyAlignment="1" applyProtection="1">
      <alignment vertical="top"/>
      <protection locked="0"/>
    </xf>
    <xf numFmtId="0" fontId="54" fillId="0" borderId="96" xfId="0" applyFont="1" applyBorder="1" applyAlignment="1" applyProtection="1">
      <alignment vertical="top"/>
      <protection locked="0"/>
    </xf>
    <xf numFmtId="0" fontId="54" fillId="0" borderId="97" xfId="0" applyFont="1" applyBorder="1" applyAlignment="1" applyProtection="1">
      <alignment vertical="top"/>
      <protection locked="0"/>
    </xf>
    <xf numFmtId="0" fontId="54" fillId="0" borderId="82" xfId="0" applyFont="1" applyBorder="1" applyAlignment="1" applyProtection="1">
      <alignment vertical="top"/>
      <protection locked="0"/>
    </xf>
    <xf numFmtId="0" fontId="54" fillId="0" borderId="98" xfId="0" applyFont="1" applyBorder="1" applyAlignment="1" applyProtection="1">
      <alignment vertical="top"/>
      <protection locked="0"/>
    </xf>
    <xf numFmtId="0" fontId="54" fillId="3" borderId="87" xfId="0" applyFont="1" applyFill="1" applyBorder="1" applyAlignment="1" applyProtection="1">
      <alignment horizontal="left" vertical="top" wrapText="1"/>
      <protection locked="0"/>
    </xf>
    <xf numFmtId="0" fontId="54" fillId="3" borderId="95" xfId="0" applyFont="1" applyFill="1" applyBorder="1" applyAlignment="1" applyProtection="1">
      <alignment horizontal="left" vertical="top" wrapText="1"/>
      <protection locked="0"/>
    </xf>
    <xf numFmtId="0" fontId="54" fillId="3" borderId="86" xfId="0" applyFont="1" applyFill="1" applyBorder="1" applyAlignment="1" applyProtection="1">
      <alignment horizontal="left" vertical="top" wrapText="1"/>
      <protection locked="0"/>
    </xf>
    <xf numFmtId="0" fontId="54" fillId="3" borderId="0" xfId="0" applyFont="1" applyFill="1" applyAlignment="1" applyProtection="1">
      <alignment horizontal="left" vertical="top" wrapText="1"/>
      <protection locked="0"/>
    </xf>
    <xf numFmtId="0" fontId="54" fillId="3" borderId="96" xfId="0" applyFont="1" applyFill="1" applyBorder="1" applyAlignment="1" applyProtection="1">
      <alignment horizontal="left" vertical="top" wrapText="1"/>
      <protection locked="0"/>
    </xf>
    <xf numFmtId="0" fontId="54" fillId="3" borderId="97" xfId="0" applyFont="1" applyFill="1" applyBorder="1" applyAlignment="1" applyProtection="1">
      <alignment horizontal="left" vertical="top" wrapText="1"/>
      <protection locked="0"/>
    </xf>
    <xf numFmtId="0" fontId="54" fillId="3" borderId="82" xfId="0" applyFont="1" applyFill="1" applyBorder="1" applyAlignment="1" applyProtection="1">
      <alignment horizontal="left" vertical="top" wrapText="1"/>
      <protection locked="0"/>
    </xf>
    <xf numFmtId="0" fontId="54" fillId="3" borderId="98" xfId="0" applyFont="1" applyFill="1" applyBorder="1" applyAlignment="1" applyProtection="1">
      <alignment horizontal="left" vertical="top" wrapText="1"/>
      <protection locked="0"/>
    </xf>
    <xf numFmtId="0" fontId="46" fillId="45" borderId="57" xfId="0" applyFont="1" applyFill="1" applyBorder="1" applyAlignment="1">
      <alignment horizontal="center" vertical="center" wrapText="1"/>
    </xf>
    <xf numFmtId="0" fontId="46" fillId="45" borderId="60" xfId="0" applyFont="1" applyFill="1" applyBorder="1" applyAlignment="1">
      <alignment horizontal="center" vertical="center" wrapText="1"/>
    </xf>
    <xf numFmtId="0" fontId="45" fillId="40" borderId="73" xfId="0" applyFont="1" applyFill="1" applyBorder="1" applyAlignment="1">
      <alignment horizontal="left" vertical="center"/>
    </xf>
    <xf numFmtId="0" fontId="45" fillId="40" borderId="55" xfId="0" applyFont="1" applyFill="1" applyBorder="1" applyAlignment="1">
      <alignment horizontal="left" vertical="center"/>
    </xf>
    <xf numFmtId="0" fontId="45" fillId="40" borderId="56" xfId="0" applyFont="1" applyFill="1" applyBorder="1" applyAlignment="1">
      <alignment horizontal="left" vertical="center"/>
    </xf>
    <xf numFmtId="0" fontId="45" fillId="40" borderId="58" xfId="0" applyFont="1" applyFill="1" applyBorder="1" applyAlignment="1">
      <alignment horizontal="left" vertical="center"/>
    </xf>
    <xf numFmtId="0" fontId="45" fillId="40" borderId="59" xfId="0" applyFont="1" applyFill="1" applyBorder="1" applyAlignment="1">
      <alignment horizontal="left" vertical="center"/>
    </xf>
    <xf numFmtId="0" fontId="45" fillId="40" borderId="60" xfId="0" applyFont="1" applyFill="1" applyBorder="1" applyAlignment="1">
      <alignment horizontal="left" vertical="center"/>
    </xf>
    <xf numFmtId="0" fontId="46" fillId="39" borderId="182" xfId="0" applyFont="1" applyFill="1" applyBorder="1" applyAlignment="1">
      <alignment horizontal="center" vertical="center" wrapText="1"/>
    </xf>
    <xf numFmtId="0" fontId="46" fillId="39" borderId="183" xfId="0" applyFont="1" applyFill="1" applyBorder="1" applyAlignment="1">
      <alignment horizontal="center" vertical="center" wrapText="1"/>
    </xf>
    <xf numFmtId="0" fontId="46" fillId="39" borderId="80" xfId="0" applyFont="1" applyFill="1" applyBorder="1" applyAlignment="1">
      <alignment horizontal="center" vertical="center" wrapText="1"/>
    </xf>
    <xf numFmtId="0" fontId="46" fillId="39" borderId="57" xfId="0" applyFont="1" applyFill="1" applyBorder="1" applyAlignment="1">
      <alignment horizontal="center" vertical="center" wrapText="1"/>
    </xf>
    <xf numFmtId="0" fontId="46" fillId="45" borderId="66" xfId="0" applyFont="1" applyFill="1" applyBorder="1" applyAlignment="1">
      <alignment horizontal="center" vertical="center" wrapText="1"/>
    </xf>
    <xf numFmtId="0" fontId="46" fillId="45" borderId="67" xfId="0" applyFont="1" applyFill="1" applyBorder="1" applyAlignment="1">
      <alignment horizontal="center" vertical="center" wrapText="1"/>
    </xf>
    <xf numFmtId="0" fontId="66" fillId="0" borderId="0" xfId="0" applyFont="1" applyAlignment="1">
      <alignment horizontal="left" vertical="center" wrapText="1"/>
    </xf>
    <xf numFmtId="0" fontId="46" fillId="6" borderId="89" xfId="0" applyFont="1" applyFill="1" applyBorder="1" applyAlignment="1">
      <alignment horizontal="right"/>
    </xf>
    <xf numFmtId="0" fontId="46" fillId="6" borderId="92" xfId="0" applyFont="1" applyFill="1" applyBorder="1" applyAlignment="1">
      <alignment horizontal="right"/>
    </xf>
    <xf numFmtId="171" fontId="53" fillId="0" borderId="89" xfId="0" applyNumberFormat="1" applyFont="1" applyBorder="1" applyAlignment="1">
      <alignment horizontal="center" vertical="center"/>
    </xf>
    <xf numFmtId="171" fontId="53" fillId="0" borderId="93" xfId="0" applyNumberFormat="1" applyFont="1" applyBorder="1" applyAlignment="1">
      <alignment horizontal="center" vertical="center"/>
    </xf>
    <xf numFmtId="3" fontId="49" fillId="0" borderId="89" xfId="0" applyNumberFormat="1" applyFont="1" applyBorder="1" applyAlignment="1">
      <alignment horizontal="center"/>
    </xf>
    <xf numFmtId="3" fontId="49" fillId="0" borderId="93" xfId="0" applyNumberFormat="1" applyFont="1" applyBorder="1" applyAlignment="1">
      <alignment horizontal="center"/>
    </xf>
    <xf numFmtId="0" fontId="49" fillId="34" borderId="104" xfId="0" applyFont="1" applyFill="1" applyBorder="1" applyAlignment="1">
      <alignment horizontal="center" vertical="center" textRotation="90"/>
    </xf>
    <xf numFmtId="0" fontId="49" fillId="34" borderId="105" xfId="0" applyFont="1" applyFill="1" applyBorder="1" applyAlignment="1">
      <alignment horizontal="center" vertical="center" textRotation="90"/>
    </xf>
    <xf numFmtId="0" fontId="49" fillId="34" borderId="106" xfId="0" applyFont="1" applyFill="1" applyBorder="1" applyAlignment="1">
      <alignment horizontal="center" vertical="center" textRotation="90"/>
    </xf>
    <xf numFmtId="0" fontId="49" fillId="34" borderId="107" xfId="0" applyFont="1" applyFill="1" applyBorder="1" applyAlignment="1">
      <alignment horizontal="center" vertical="center" textRotation="90"/>
    </xf>
    <xf numFmtId="0" fontId="49" fillId="34" borderId="106" xfId="0" applyFont="1" applyFill="1" applyBorder="1" applyAlignment="1">
      <alignment horizontal="center" vertical="center"/>
    </xf>
    <xf numFmtId="0" fontId="49" fillId="34" borderId="107" xfId="0" applyFont="1" applyFill="1" applyBorder="1" applyAlignment="1">
      <alignment horizontal="center" vertical="center"/>
    </xf>
    <xf numFmtId="0" fontId="49" fillId="34" borderId="166" xfId="0" applyFont="1" applyFill="1" applyBorder="1" applyAlignment="1">
      <alignment horizontal="center" vertical="center"/>
    </xf>
    <xf numFmtId="0" fontId="49" fillId="34" borderId="170" xfId="0" applyFont="1" applyFill="1" applyBorder="1" applyAlignment="1">
      <alignment horizontal="center" vertical="center"/>
    </xf>
    <xf numFmtId="0" fontId="49" fillId="34" borderId="1" xfId="0" applyFont="1" applyFill="1" applyBorder="1" applyAlignment="1">
      <alignment horizontal="center" vertical="center" textRotation="90"/>
    </xf>
    <xf numFmtId="0" fontId="49" fillId="34" borderId="185" xfId="0" applyFont="1" applyFill="1" applyBorder="1" applyAlignment="1">
      <alignment horizontal="center" vertical="center" textRotation="90"/>
    </xf>
    <xf numFmtId="0" fontId="49" fillId="34" borderId="186" xfId="0" applyFont="1" applyFill="1" applyBorder="1" applyAlignment="1">
      <alignment horizontal="center" vertical="center" textRotation="90"/>
    </xf>
    <xf numFmtId="0" fontId="46" fillId="39" borderId="5" xfId="39" applyFont="1" applyFill="1" applyBorder="1" applyAlignment="1">
      <alignment horizontal="center" vertical="center"/>
    </xf>
    <xf numFmtId="0" fontId="46" fillId="39" borderId="127" xfId="39" applyFont="1" applyFill="1" applyBorder="1" applyAlignment="1">
      <alignment horizontal="center" vertical="center"/>
    </xf>
    <xf numFmtId="0" fontId="46" fillId="7" borderId="5" xfId="39" applyFont="1" applyFill="1" applyBorder="1" applyAlignment="1">
      <alignment horizontal="center" vertical="center"/>
    </xf>
    <xf numFmtId="0" fontId="46" fillId="7" borderId="127" xfId="39" applyFont="1" applyFill="1" applyBorder="1" applyAlignment="1">
      <alignment horizontal="center" vertical="center"/>
    </xf>
    <xf numFmtId="0" fontId="46" fillId="41" borderId="5" xfId="0" applyFont="1" applyFill="1" applyBorder="1" applyAlignment="1">
      <alignment horizontal="center" vertical="center"/>
    </xf>
    <xf numFmtId="0" fontId="46" fillId="41" borderId="0" xfId="0" applyFont="1" applyFill="1" applyAlignment="1">
      <alignment horizontal="center" vertical="center"/>
    </xf>
    <xf numFmtId="0" fontId="46" fillId="39" borderId="6" xfId="39" applyFont="1" applyFill="1" applyBorder="1" applyAlignment="1">
      <alignment horizontal="center" vertical="center"/>
    </xf>
    <xf numFmtId="0" fontId="46" fillId="39" borderId="128" xfId="39" applyFont="1" applyFill="1" applyBorder="1" applyAlignment="1">
      <alignment horizontal="center" vertical="center"/>
    </xf>
    <xf numFmtId="0" fontId="46" fillId="39" borderId="4" xfId="39" applyFont="1" applyFill="1" applyBorder="1" applyAlignment="1">
      <alignment horizontal="center" vertical="center"/>
    </xf>
    <xf numFmtId="0" fontId="46" fillId="39" borderId="129" xfId="39" applyFont="1" applyFill="1" applyBorder="1" applyAlignment="1">
      <alignment horizontal="center" vertical="center"/>
    </xf>
    <xf numFmtId="0" fontId="46" fillId="7" borderId="6" xfId="39" applyFont="1" applyFill="1" applyBorder="1" applyAlignment="1">
      <alignment horizontal="center" vertical="center"/>
    </xf>
    <xf numFmtId="0" fontId="46" fillId="7" borderId="128" xfId="39" applyFont="1" applyFill="1" applyBorder="1" applyAlignment="1">
      <alignment horizontal="center" vertical="center"/>
    </xf>
    <xf numFmtId="0" fontId="45" fillId="2" borderId="4" xfId="0" applyFont="1" applyFill="1" applyBorder="1" applyAlignment="1" applyProtection="1">
      <alignment horizontal="left" vertical="center"/>
      <protection locked="0"/>
    </xf>
    <xf numFmtId="0" fontId="45" fillId="2" borderId="5" xfId="0" applyFont="1" applyFill="1" applyBorder="1" applyAlignment="1" applyProtection="1">
      <alignment horizontal="left" vertical="center"/>
      <protection locked="0"/>
    </xf>
    <xf numFmtId="0" fontId="54" fillId="0" borderId="5" xfId="0" applyFont="1" applyBorder="1" applyProtection="1">
      <protection locked="0"/>
    </xf>
    <xf numFmtId="0" fontId="54" fillId="0" borderId="6" xfId="0" applyFont="1" applyBorder="1" applyProtection="1">
      <protection locked="0"/>
    </xf>
    <xf numFmtId="0" fontId="45" fillId="2" borderId="129" xfId="0" applyFont="1" applyFill="1" applyBorder="1" applyAlignment="1" applyProtection="1">
      <alignment horizontal="left" vertical="center"/>
      <protection locked="0"/>
    </xf>
    <xf numFmtId="0" fontId="45" fillId="2" borderId="127" xfId="0" applyFont="1" applyFill="1" applyBorder="1" applyAlignment="1" applyProtection="1">
      <alignment horizontal="left" vertical="center"/>
      <protection locked="0"/>
    </xf>
    <xf numFmtId="0" fontId="54" fillId="0" borderId="127" xfId="0" applyFont="1" applyBorder="1" applyProtection="1">
      <protection locked="0"/>
    </xf>
    <xf numFmtId="0" fontId="54" fillId="0" borderId="128" xfId="0" applyFont="1" applyBorder="1" applyProtection="1">
      <protection locked="0"/>
    </xf>
    <xf numFmtId="0" fontId="61" fillId="0" borderId="129" xfId="0" applyFont="1" applyBorder="1" applyAlignment="1" applyProtection="1">
      <alignment wrapText="1"/>
      <protection locked="0"/>
    </xf>
    <xf numFmtId="0" fontId="54" fillId="0" borderId="127" xfId="0" applyFont="1" applyBorder="1" applyAlignment="1" applyProtection="1">
      <alignment wrapText="1"/>
      <protection locked="0"/>
    </xf>
    <xf numFmtId="0" fontId="54" fillId="0" borderId="128" xfId="0" applyFont="1" applyBorder="1" applyAlignment="1" applyProtection="1">
      <alignment wrapText="1"/>
      <protection locked="0"/>
    </xf>
    <xf numFmtId="0" fontId="61" fillId="0" borderId="4" xfId="0" applyFont="1" applyBorder="1" applyAlignment="1" applyProtection="1">
      <alignment horizontal="left" wrapText="1"/>
      <protection locked="0"/>
    </xf>
    <xf numFmtId="0" fontId="61" fillId="0" borderId="5" xfId="0" applyFont="1" applyBorder="1" applyAlignment="1" applyProtection="1">
      <alignment horizontal="left" wrapText="1"/>
      <protection locked="0"/>
    </xf>
    <xf numFmtId="0" fontId="61" fillId="0" borderId="6" xfId="0" applyFont="1" applyBorder="1" applyAlignment="1" applyProtection="1">
      <alignment horizontal="left" wrapText="1"/>
      <protection locked="0"/>
    </xf>
    <xf numFmtId="0" fontId="61" fillId="0" borderId="129" xfId="0" applyFont="1" applyBorder="1" applyAlignment="1" applyProtection="1">
      <alignment horizontal="left" wrapText="1"/>
      <protection locked="0"/>
    </xf>
    <xf numFmtId="0" fontId="61" fillId="0" borderId="127" xfId="0" applyFont="1" applyBorder="1" applyAlignment="1" applyProtection="1">
      <alignment horizontal="left" wrapText="1"/>
      <protection locked="0"/>
    </xf>
    <xf numFmtId="0" fontId="61" fillId="0" borderId="128" xfId="0" applyFont="1" applyBorder="1" applyAlignment="1" applyProtection="1">
      <alignment horizontal="left" wrapText="1"/>
      <protection locked="0"/>
    </xf>
    <xf numFmtId="3" fontId="47" fillId="3" borderId="8" xfId="39" applyNumberFormat="1" applyFont="1" applyFill="1" applyBorder="1" applyAlignment="1" applyProtection="1">
      <alignment horizontal="left"/>
      <protection locked="0"/>
    </xf>
    <xf numFmtId="3" fontId="47" fillId="3" borderId="11" xfId="39" applyNumberFormat="1" applyFont="1" applyFill="1" applyBorder="1" applyAlignment="1" applyProtection="1">
      <alignment horizontal="left"/>
      <protection locked="0"/>
    </xf>
    <xf numFmtId="3" fontId="47" fillId="3" borderId="12" xfId="39" applyNumberFormat="1" applyFont="1" applyFill="1" applyBorder="1" applyAlignment="1" applyProtection="1">
      <alignment horizontal="left"/>
      <protection locked="0"/>
    </xf>
    <xf numFmtId="0" fontId="46" fillId="41" borderId="4" xfId="0" applyFont="1" applyFill="1" applyBorder="1" applyAlignment="1">
      <alignment horizontal="center" vertical="center"/>
    </xf>
    <xf numFmtId="0" fontId="46" fillId="41" borderId="1" xfId="0" applyFont="1" applyFill="1" applyBorder="1" applyAlignment="1">
      <alignment horizontal="center" vertical="center"/>
    </xf>
    <xf numFmtId="0" fontId="46" fillId="7" borderId="4" xfId="39" applyFont="1" applyFill="1" applyBorder="1" applyAlignment="1">
      <alignment horizontal="center" vertical="center"/>
    </xf>
    <xf numFmtId="0" fontId="46" fillId="7" borderId="129" xfId="39" applyFont="1" applyFill="1" applyBorder="1" applyAlignment="1">
      <alignment horizontal="center" vertical="center"/>
    </xf>
    <xf numFmtId="0" fontId="46" fillId="41" borderId="6" xfId="0" applyFont="1" applyFill="1" applyBorder="1" applyAlignment="1">
      <alignment horizontal="center" vertical="center"/>
    </xf>
    <xf numFmtId="0" fontId="46" fillId="41" borderId="7" xfId="0" applyFont="1" applyFill="1" applyBorder="1" applyAlignment="1">
      <alignment horizontal="center" vertical="center"/>
    </xf>
    <xf numFmtId="0" fontId="45" fillId="2" borderId="4" xfId="0" applyFont="1" applyFill="1" applyBorder="1" applyAlignment="1">
      <alignment horizontal="left" vertical="center"/>
    </xf>
    <xf numFmtId="0" fontId="45" fillId="2" borderId="5" xfId="0" applyFont="1" applyFill="1" applyBorder="1" applyAlignment="1">
      <alignment horizontal="left" vertical="center"/>
    </xf>
    <xf numFmtId="0" fontId="54" fillId="0" borderId="5" xfId="0" applyFont="1" applyBorder="1"/>
    <xf numFmtId="0" fontId="54" fillId="0" borderId="6" xfId="0" applyFont="1" applyBorder="1"/>
    <xf numFmtId="0" fontId="45" fillId="2" borderId="129" xfId="0" applyFont="1" applyFill="1" applyBorder="1" applyAlignment="1">
      <alignment horizontal="left" vertical="center"/>
    </xf>
    <xf numFmtId="0" fontId="45" fillId="2" borderId="127" xfId="0" applyFont="1" applyFill="1" applyBorder="1" applyAlignment="1">
      <alignment horizontal="left" vertical="center"/>
    </xf>
    <xf numFmtId="0" fontId="54" fillId="0" borderId="127" xfId="0" applyFont="1" applyBorder="1"/>
    <xf numFmtId="0" fontId="54" fillId="0" borderId="128" xfId="0" applyFont="1" applyBorder="1"/>
    <xf numFmtId="0" fontId="52" fillId="0" borderId="8" xfId="0" applyFont="1" applyBorder="1" applyAlignment="1">
      <alignment vertical="top" wrapText="1"/>
    </xf>
    <xf numFmtId="0" fontId="54" fillId="0" borderId="11" xfId="0" applyFont="1" applyBorder="1" applyAlignment="1">
      <alignment vertical="top" wrapText="1"/>
    </xf>
    <xf numFmtId="0" fontId="54" fillId="0" borderId="12" xfId="0" applyFont="1" applyBorder="1" applyAlignment="1">
      <alignment vertical="top" wrapText="1"/>
    </xf>
    <xf numFmtId="0" fontId="46" fillId="39" borderId="4" xfId="12" applyFont="1" applyFill="1" applyBorder="1" applyAlignment="1">
      <alignment horizontal="center" vertical="center"/>
    </xf>
    <xf numFmtId="0" fontId="46" fillId="39" borderId="129" xfId="12" applyFont="1" applyFill="1" applyBorder="1" applyAlignment="1">
      <alignment horizontal="center" vertical="center"/>
    </xf>
    <xf numFmtId="0" fontId="46" fillId="39" borderId="5" xfId="12" applyFont="1" applyFill="1" applyBorder="1" applyAlignment="1">
      <alignment horizontal="center" vertical="center"/>
    </xf>
    <xf numFmtId="0" fontId="46" fillId="39" borderId="127" xfId="12" applyFont="1" applyFill="1" applyBorder="1" applyAlignment="1">
      <alignment horizontal="center" vertical="center"/>
    </xf>
    <xf numFmtId="0" fontId="53" fillId="2" borderId="24" xfId="12" applyFont="1" applyFill="1" applyBorder="1" applyAlignment="1">
      <alignment horizontal="center" vertical="center"/>
    </xf>
    <xf numFmtId="0" fontId="53" fillId="2" borderId="34" xfId="12" applyFont="1" applyFill="1" applyBorder="1" applyAlignment="1">
      <alignment horizontal="center" vertical="center"/>
    </xf>
    <xf numFmtId="0" fontId="53" fillId="2" borderId="33" xfId="12" applyFont="1" applyFill="1" applyBorder="1" applyAlignment="1">
      <alignment horizontal="center" vertical="center"/>
    </xf>
    <xf numFmtId="0" fontId="46" fillId="7" borderId="5" xfId="0" applyFont="1" applyFill="1" applyBorder="1" applyAlignment="1">
      <alignment horizontal="center" vertical="center"/>
    </xf>
    <xf numFmtId="0" fontId="46" fillId="7" borderId="127" xfId="0" applyFont="1" applyFill="1" applyBorder="1" applyAlignment="1">
      <alignment horizontal="center" vertical="center"/>
    </xf>
    <xf numFmtId="0" fontId="46" fillId="41" borderId="127" xfId="0" applyFont="1" applyFill="1" applyBorder="1" applyAlignment="1">
      <alignment horizontal="center" vertical="center"/>
    </xf>
    <xf numFmtId="0" fontId="46" fillId="41" borderId="129" xfId="0" applyFont="1" applyFill="1" applyBorder="1" applyAlignment="1">
      <alignment horizontal="center" vertical="center"/>
    </xf>
    <xf numFmtId="0" fontId="46" fillId="41" borderId="128" xfId="0" applyFont="1" applyFill="1" applyBorder="1" applyAlignment="1">
      <alignment horizontal="center" vertical="center"/>
    </xf>
    <xf numFmtId="0" fontId="46" fillId="39" borderId="5" xfId="0" applyFont="1" applyFill="1" applyBorder="1" applyAlignment="1">
      <alignment horizontal="center" vertical="center"/>
    </xf>
    <xf numFmtId="0" fontId="46" fillId="39" borderId="127" xfId="0" applyFont="1" applyFill="1" applyBorder="1" applyAlignment="1">
      <alignment horizontal="center" vertical="center"/>
    </xf>
    <xf numFmtId="0" fontId="46" fillId="7" borderId="6" xfId="0" applyFont="1" applyFill="1" applyBorder="1" applyAlignment="1">
      <alignment horizontal="center" vertical="center"/>
    </xf>
    <xf numFmtId="0" fontId="46" fillId="7" borderId="128" xfId="0" applyFont="1" applyFill="1" applyBorder="1" applyAlignment="1">
      <alignment horizontal="center" vertical="center"/>
    </xf>
    <xf numFmtId="0" fontId="46" fillId="39" borderId="6" xfId="0" applyFont="1" applyFill="1" applyBorder="1" applyAlignment="1">
      <alignment horizontal="center" vertical="center"/>
    </xf>
    <xf numFmtId="0" fontId="46" fillId="39" borderId="128" xfId="0" applyFont="1" applyFill="1" applyBorder="1" applyAlignment="1">
      <alignment horizontal="center" vertical="center"/>
    </xf>
    <xf numFmtId="0" fontId="46" fillId="39" borderId="6" xfId="12" applyFont="1" applyFill="1" applyBorder="1" applyAlignment="1">
      <alignment horizontal="center" vertical="center"/>
    </xf>
    <xf numFmtId="0" fontId="46" fillId="39" borderId="128" xfId="12" applyFont="1" applyFill="1" applyBorder="1" applyAlignment="1">
      <alignment horizontal="center" vertical="center"/>
    </xf>
    <xf numFmtId="0" fontId="46" fillId="7" borderId="4" xfId="0" applyFont="1" applyFill="1" applyBorder="1" applyAlignment="1">
      <alignment horizontal="center" vertical="center"/>
    </xf>
    <xf numFmtId="0" fontId="46" fillId="7" borderId="129" xfId="0" applyFont="1" applyFill="1" applyBorder="1" applyAlignment="1">
      <alignment horizontal="center" vertical="center"/>
    </xf>
    <xf numFmtId="0" fontId="46" fillId="39" borderId="4" xfId="0" applyFont="1" applyFill="1" applyBorder="1" applyAlignment="1">
      <alignment horizontal="center" vertical="center"/>
    </xf>
    <xf numFmtId="0" fontId="46" fillId="39" borderId="129" xfId="0" applyFont="1" applyFill="1" applyBorder="1" applyAlignment="1">
      <alignment horizontal="center" vertical="center"/>
    </xf>
    <xf numFmtId="0" fontId="46" fillId="7" borderId="5" xfId="12" applyFont="1" applyFill="1" applyBorder="1" applyAlignment="1">
      <alignment horizontal="center" vertical="center"/>
    </xf>
    <xf numFmtId="0" fontId="46" fillId="7" borderId="127" xfId="12" applyFont="1" applyFill="1" applyBorder="1" applyAlignment="1">
      <alignment horizontal="center" vertical="center"/>
    </xf>
    <xf numFmtId="0" fontId="46" fillId="7" borderId="6" xfId="12" applyFont="1" applyFill="1" applyBorder="1" applyAlignment="1">
      <alignment horizontal="center" vertical="center"/>
    </xf>
    <xf numFmtId="0" fontId="46" fillId="7" borderId="128" xfId="12" applyFont="1" applyFill="1" applyBorder="1" applyAlignment="1">
      <alignment horizontal="center" vertical="center"/>
    </xf>
    <xf numFmtId="0" fontId="46" fillId="7" borderId="4" xfId="12" applyFont="1" applyFill="1" applyBorder="1" applyAlignment="1">
      <alignment horizontal="center" vertical="center"/>
    </xf>
    <xf numFmtId="0" fontId="46" fillId="7" borderId="129" xfId="12" applyFont="1" applyFill="1" applyBorder="1" applyAlignment="1">
      <alignment horizontal="center" vertical="center"/>
    </xf>
    <xf numFmtId="0" fontId="61" fillId="0" borderId="4" xfId="0" applyFont="1" applyBorder="1" applyAlignment="1">
      <alignment horizontal="left" wrapText="1"/>
    </xf>
    <xf numFmtId="0" fontId="61" fillId="0" borderId="5" xfId="0" applyFont="1" applyBorder="1" applyAlignment="1">
      <alignment horizontal="left" wrapText="1"/>
    </xf>
    <xf numFmtId="0" fontId="61" fillId="0" borderId="6" xfId="0" applyFont="1" applyBorder="1" applyAlignment="1">
      <alignment horizontal="left" wrapText="1"/>
    </xf>
    <xf numFmtId="0" fontId="61" fillId="0" borderId="129" xfId="0" applyFont="1" applyBorder="1" applyAlignment="1">
      <alignment horizontal="left" wrapText="1"/>
    </xf>
    <xf numFmtId="0" fontId="61" fillId="0" borderId="127" xfId="0" applyFont="1" applyBorder="1" applyAlignment="1">
      <alignment horizontal="left" wrapText="1"/>
    </xf>
    <xf numFmtId="0" fontId="61" fillId="0" borderId="128" xfId="0" applyFont="1" applyBorder="1" applyAlignment="1">
      <alignment horizontal="left" wrapText="1"/>
    </xf>
    <xf numFmtId="0" fontId="61" fillId="0" borderId="129" xfId="0" applyFont="1" applyBorder="1" applyAlignment="1">
      <alignment wrapText="1"/>
    </xf>
    <xf numFmtId="0" fontId="54" fillId="0" borderId="127" xfId="0" applyFont="1" applyBorder="1" applyAlignment="1">
      <alignment wrapText="1"/>
    </xf>
    <xf numFmtId="0" fontId="54" fillId="0" borderId="128" xfId="0" applyFont="1" applyBorder="1" applyAlignment="1">
      <alignment wrapText="1"/>
    </xf>
    <xf numFmtId="0" fontId="46" fillId="41" borderId="4" xfId="39" applyFont="1" applyFill="1" applyBorder="1" applyAlignment="1">
      <alignment horizontal="center" vertical="center"/>
    </xf>
    <xf numFmtId="0" fontId="46" fillId="41" borderId="129" xfId="39" applyFont="1" applyFill="1" applyBorder="1" applyAlignment="1">
      <alignment horizontal="center" vertical="center"/>
    </xf>
    <xf numFmtId="0" fontId="46" fillId="41" borderId="5" xfId="39" applyFont="1" applyFill="1" applyBorder="1" applyAlignment="1">
      <alignment horizontal="center" vertical="center"/>
    </xf>
    <xf numFmtId="0" fontId="46" fillId="41" borderId="127" xfId="39" applyFont="1" applyFill="1" applyBorder="1" applyAlignment="1">
      <alignment horizontal="center" vertical="center"/>
    </xf>
    <xf numFmtId="0" fontId="46" fillId="41" borderId="6" xfId="39" applyFont="1" applyFill="1" applyBorder="1" applyAlignment="1">
      <alignment horizontal="center" vertical="center"/>
    </xf>
    <xf numFmtId="0" fontId="46" fillId="41" borderId="128" xfId="39" applyFont="1" applyFill="1" applyBorder="1" applyAlignment="1">
      <alignment horizontal="center" vertical="center"/>
    </xf>
    <xf numFmtId="0" fontId="46" fillId="39" borderId="191" xfId="39" applyFont="1" applyFill="1" applyBorder="1" applyAlignment="1">
      <alignment horizontal="center" vertical="center"/>
    </xf>
    <xf numFmtId="0" fontId="52" fillId="0" borderId="123" xfId="0" applyFont="1" applyBorder="1" applyAlignment="1">
      <alignment vertical="top" wrapText="1"/>
    </xf>
    <xf numFmtId="0" fontId="54" fillId="0" borderId="124" xfId="0" applyFont="1" applyBorder="1" applyAlignment="1">
      <alignment vertical="top" wrapText="1"/>
    </xf>
    <xf numFmtId="0" fontId="54" fillId="0" borderId="125" xfId="0" applyFont="1" applyBorder="1" applyAlignment="1">
      <alignment vertical="top" wrapText="1"/>
    </xf>
    <xf numFmtId="0" fontId="9" fillId="0" borderId="0" xfId="0" applyFont="1" applyAlignment="1" applyProtection="1">
      <alignment horizontal="center" vertical="center"/>
      <protection locked="0"/>
    </xf>
    <xf numFmtId="0" fontId="46" fillId="7" borderId="55" xfId="0" applyFont="1" applyFill="1" applyBorder="1" applyAlignment="1">
      <alignment horizontal="center" vertical="center"/>
    </xf>
    <xf numFmtId="0" fontId="46" fillId="7" borderId="59" xfId="0" applyFont="1" applyFill="1" applyBorder="1" applyAlignment="1">
      <alignment horizontal="center" vertical="center"/>
    </xf>
    <xf numFmtId="0" fontId="45" fillId="2" borderId="111" xfId="0" applyFont="1" applyFill="1" applyBorder="1" applyAlignment="1">
      <alignment horizontal="left" vertical="center"/>
    </xf>
    <xf numFmtId="0" fontId="45" fillId="2" borderId="112" xfId="0" applyFont="1" applyFill="1" applyBorder="1" applyAlignment="1">
      <alignment horizontal="left" vertical="center"/>
    </xf>
    <xf numFmtId="0" fontId="54" fillId="0" borderId="112" xfId="0" applyFont="1" applyBorder="1"/>
    <xf numFmtId="0" fontId="54" fillId="0" borderId="113" xfId="0" applyFont="1" applyBorder="1"/>
    <xf numFmtId="0" fontId="45" fillId="2" borderId="114" xfId="0" applyFont="1" applyFill="1" applyBorder="1" applyAlignment="1">
      <alignment horizontal="left" vertical="center"/>
    </xf>
    <xf numFmtId="0" fontId="45" fillId="2" borderId="115" xfId="0" applyFont="1" applyFill="1" applyBorder="1" applyAlignment="1">
      <alignment horizontal="left" vertical="center"/>
    </xf>
    <xf numFmtId="0" fontId="54" fillId="0" borderId="115" xfId="0" applyFont="1" applyBorder="1"/>
    <xf numFmtId="0" fontId="54" fillId="0" borderId="116" xfId="0" applyFont="1" applyBorder="1"/>
    <xf numFmtId="0" fontId="46" fillId="39" borderId="73" xfId="0" applyFont="1" applyFill="1" applyBorder="1" applyAlignment="1">
      <alignment horizontal="center" vertical="center"/>
    </xf>
    <xf numFmtId="0" fontId="46" fillId="39" borderId="58" xfId="0" applyFont="1" applyFill="1" applyBorder="1" applyAlignment="1">
      <alignment horizontal="center" vertical="center"/>
    </xf>
    <xf numFmtId="0" fontId="46" fillId="39" borderId="55" xfId="0" applyFont="1" applyFill="1" applyBorder="1" applyAlignment="1">
      <alignment horizontal="center" vertical="center"/>
    </xf>
    <xf numFmtId="0" fontId="46" fillId="39" borderId="59" xfId="0" applyFont="1" applyFill="1" applyBorder="1" applyAlignment="1">
      <alignment horizontal="center" vertical="center"/>
    </xf>
    <xf numFmtId="0" fontId="46" fillId="39" borderId="56" xfId="0" applyFont="1" applyFill="1" applyBorder="1" applyAlignment="1">
      <alignment horizontal="center" vertical="center"/>
    </xf>
    <xf numFmtId="0" fontId="46" fillId="39" borderId="60" xfId="0" applyFont="1" applyFill="1" applyBorder="1" applyAlignment="1">
      <alignment horizontal="center" vertical="center"/>
    </xf>
    <xf numFmtId="0" fontId="46" fillId="41" borderId="55" xfId="0" applyFont="1" applyFill="1" applyBorder="1" applyAlignment="1">
      <alignment horizontal="center" vertical="center"/>
    </xf>
    <xf numFmtId="0" fontId="46" fillId="41" borderId="59" xfId="0" applyFont="1" applyFill="1" applyBorder="1" applyAlignment="1">
      <alignment horizontal="center" vertical="center"/>
    </xf>
    <xf numFmtId="0" fontId="46" fillId="7" borderId="73" xfId="0" applyFont="1" applyFill="1" applyBorder="1" applyAlignment="1">
      <alignment horizontal="center" vertical="center"/>
    </xf>
    <xf numFmtId="0" fontId="46" fillId="7" borderId="58" xfId="0" applyFont="1" applyFill="1" applyBorder="1" applyAlignment="1">
      <alignment horizontal="center" vertical="center"/>
    </xf>
    <xf numFmtId="0" fontId="48" fillId="41" borderId="55" xfId="0" applyFont="1" applyFill="1" applyBorder="1" applyAlignment="1">
      <alignment horizontal="center" vertical="center"/>
    </xf>
    <xf numFmtId="0" fontId="48" fillId="41" borderId="59" xfId="0" applyFont="1" applyFill="1" applyBorder="1" applyAlignment="1">
      <alignment horizontal="center" vertical="center"/>
    </xf>
    <xf numFmtId="0" fontId="46" fillId="7" borderId="56" xfId="0" applyFont="1" applyFill="1" applyBorder="1" applyAlignment="1">
      <alignment horizontal="center" vertical="center"/>
    </xf>
    <xf numFmtId="0" fontId="46" fillId="7" borderId="60" xfId="0" applyFont="1" applyFill="1" applyBorder="1" applyAlignment="1">
      <alignment horizontal="center" vertical="center"/>
    </xf>
    <xf numFmtId="0" fontId="46" fillId="41" borderId="56" xfId="0" applyFont="1" applyFill="1" applyBorder="1" applyAlignment="1">
      <alignment horizontal="center" vertical="center"/>
    </xf>
    <xf numFmtId="0" fontId="46" fillId="41" borderId="60" xfId="0" applyFont="1" applyFill="1" applyBorder="1" applyAlignment="1">
      <alignment horizontal="center" vertical="center"/>
    </xf>
    <xf numFmtId="0" fontId="52" fillId="0" borderId="117" xfId="0" applyFont="1" applyBorder="1" applyAlignment="1">
      <alignment vertical="top" wrapText="1"/>
    </xf>
    <xf numFmtId="0" fontId="54" fillId="0" borderId="118" xfId="0" applyFont="1" applyBorder="1" applyAlignment="1">
      <alignment vertical="top" wrapText="1"/>
    </xf>
    <xf numFmtId="0" fontId="54" fillId="0" borderId="119" xfId="0" applyFont="1" applyBorder="1" applyAlignment="1">
      <alignment vertical="top" wrapText="1"/>
    </xf>
    <xf numFmtId="0" fontId="61" fillId="0" borderId="120" xfId="0" applyFont="1" applyBorder="1" applyAlignment="1">
      <alignment vertical="top" wrapText="1"/>
    </xf>
    <xf numFmtId="0" fontId="54" fillId="0" borderId="121" xfId="0" applyFont="1" applyBorder="1" applyAlignment="1">
      <alignment vertical="top" wrapText="1"/>
    </xf>
    <xf numFmtId="0" fontId="54" fillId="0" borderId="122" xfId="0" applyFont="1" applyBorder="1" applyAlignment="1">
      <alignment vertical="top" wrapText="1"/>
    </xf>
    <xf numFmtId="0" fontId="52" fillId="0" borderId="172" xfId="0" applyFont="1" applyBorder="1" applyAlignment="1">
      <alignment vertical="top" wrapText="1"/>
    </xf>
    <xf numFmtId="0" fontId="54" fillId="0" borderId="173" xfId="0" applyFont="1" applyBorder="1" applyAlignment="1">
      <alignment vertical="top" wrapText="1"/>
    </xf>
    <xf numFmtId="0" fontId="54" fillId="0" borderId="174" xfId="0" applyFont="1" applyBorder="1" applyAlignment="1">
      <alignment vertical="top" wrapText="1"/>
    </xf>
    <xf numFmtId="0" fontId="46" fillId="39" borderId="4" xfId="8" applyFont="1" applyFill="1" applyBorder="1" applyAlignment="1">
      <alignment horizontal="left"/>
    </xf>
    <xf numFmtId="0" fontId="46" fillId="39" borderId="5" xfId="8" applyFont="1" applyFill="1" applyBorder="1" applyAlignment="1">
      <alignment horizontal="left"/>
    </xf>
    <xf numFmtId="0" fontId="46" fillId="39" borderId="129" xfId="8" applyFont="1" applyFill="1" applyBorder="1" applyAlignment="1">
      <alignment horizontal="left"/>
    </xf>
    <xf numFmtId="0" fontId="46" fillId="39" borderId="127" xfId="8" applyFont="1" applyFill="1" applyBorder="1" applyAlignment="1">
      <alignment horizontal="left"/>
    </xf>
    <xf numFmtId="0" fontId="46" fillId="2" borderId="4" xfId="332" applyFont="1" applyFill="1" applyBorder="1" applyAlignment="1">
      <alignment horizontal="left" vertical="center"/>
    </xf>
    <xf numFmtId="0" fontId="46" fillId="2" borderId="5" xfId="332" applyFont="1" applyFill="1" applyBorder="1" applyAlignment="1">
      <alignment horizontal="left" vertical="center"/>
    </xf>
    <xf numFmtId="0" fontId="46" fillId="2" borderId="129" xfId="332" applyFont="1" applyFill="1" applyBorder="1" applyAlignment="1">
      <alignment horizontal="left" vertical="center"/>
    </xf>
    <xf numFmtId="0" fontId="46" fillId="2" borderId="127" xfId="332" applyFont="1" applyFill="1" applyBorder="1" applyAlignment="1">
      <alignment horizontal="left" vertical="center"/>
    </xf>
    <xf numFmtId="0" fontId="66" fillId="0" borderId="4" xfId="332" applyFont="1" applyBorder="1" applyAlignment="1">
      <alignment horizontal="left" wrapText="1"/>
    </xf>
    <xf numFmtId="0" fontId="66" fillId="0" borderId="5" xfId="332" applyFont="1" applyBorder="1" applyAlignment="1">
      <alignment horizontal="left" wrapText="1"/>
    </xf>
    <xf numFmtId="0" fontId="66" fillId="0" borderId="6" xfId="332" applyFont="1" applyBorder="1" applyAlignment="1">
      <alignment horizontal="left" wrapText="1"/>
    </xf>
    <xf numFmtId="0" fontId="66" fillId="0" borderId="129" xfId="332" applyFont="1" applyBorder="1" applyAlignment="1">
      <alignment horizontal="left" wrapText="1"/>
    </xf>
    <xf numFmtId="0" fontId="66" fillId="0" borderId="127" xfId="332" applyFont="1" applyBorder="1" applyAlignment="1">
      <alignment horizontal="left" wrapText="1"/>
    </xf>
    <xf numFmtId="0" fontId="66" fillId="0" borderId="128" xfId="332" applyFont="1" applyBorder="1" applyAlignment="1">
      <alignment horizontal="left" wrapText="1"/>
    </xf>
    <xf numFmtId="0" fontId="46" fillId="39" borderId="8" xfId="8" applyFont="1" applyFill="1" applyBorder="1" applyAlignment="1">
      <alignment horizontal="left"/>
    </xf>
    <xf numFmtId="0" fontId="46" fillId="39" borderId="11" xfId="8" applyFont="1" applyFill="1" applyBorder="1" applyAlignment="1">
      <alignment horizontal="left"/>
    </xf>
    <xf numFmtId="0" fontId="46" fillId="44" borderId="5" xfId="332" applyFont="1" applyFill="1" applyBorder="1" applyAlignment="1">
      <alignment horizontal="center" vertical="center"/>
    </xf>
    <xf numFmtId="0" fontId="46" fillId="44" borderId="127" xfId="332" applyFont="1" applyFill="1" applyBorder="1" applyAlignment="1">
      <alignment horizontal="center" vertical="center"/>
    </xf>
    <xf numFmtId="0" fontId="61" fillId="0" borderId="129" xfId="332" applyFont="1" applyBorder="1" applyAlignment="1">
      <alignment horizontal="left" wrapText="1"/>
    </xf>
    <xf numFmtId="0" fontId="61" fillId="0" borderId="127" xfId="332" applyFont="1" applyBorder="1" applyAlignment="1">
      <alignment horizontal="left" wrapText="1"/>
    </xf>
    <xf numFmtId="0" fontId="61" fillId="0" borderId="128" xfId="332" applyFont="1" applyBorder="1" applyAlignment="1">
      <alignment horizontal="left" wrapText="1"/>
    </xf>
    <xf numFmtId="0" fontId="45" fillId="2" borderId="4" xfId="332" applyFont="1" applyFill="1" applyBorder="1" applyAlignment="1">
      <alignment horizontal="left" vertical="center"/>
    </xf>
    <xf numFmtId="0" fontId="45" fillId="2" borderId="5" xfId="332" applyFont="1" applyFill="1" applyBorder="1" applyAlignment="1">
      <alignment horizontal="left" vertical="center"/>
    </xf>
    <xf numFmtId="0" fontId="45" fillId="2" borderId="6" xfId="332" applyFont="1" applyFill="1" applyBorder="1" applyAlignment="1">
      <alignment horizontal="left" vertical="center"/>
    </xf>
    <xf numFmtId="0" fontId="45" fillId="2" borderId="129" xfId="332" applyFont="1" applyFill="1" applyBorder="1" applyAlignment="1">
      <alignment horizontal="left" vertical="center"/>
    </xf>
    <xf numFmtId="0" fontId="45" fillId="2" borderId="127" xfId="332" applyFont="1" applyFill="1" applyBorder="1" applyAlignment="1">
      <alignment horizontal="left" vertical="center"/>
    </xf>
    <xf numFmtId="0" fontId="45" fillId="2" borderId="128" xfId="332" applyFont="1" applyFill="1" applyBorder="1" applyAlignment="1">
      <alignment horizontal="left" vertical="center"/>
    </xf>
    <xf numFmtId="0" fontId="46" fillId="2" borderId="9" xfId="332" applyFont="1" applyFill="1" applyBorder="1" applyAlignment="1">
      <alignment horizontal="center" vertical="center"/>
    </xf>
    <xf numFmtId="0" fontId="46" fillId="2" borderId="18" xfId="332" applyFont="1" applyFill="1" applyBorder="1" applyAlignment="1">
      <alignment horizontal="center" vertical="center"/>
    </xf>
    <xf numFmtId="0" fontId="46" fillId="2" borderId="10" xfId="332" applyFont="1" applyFill="1" applyBorder="1" applyAlignment="1">
      <alignment horizontal="center" vertical="center"/>
    </xf>
    <xf numFmtId="0" fontId="47" fillId="34" borderId="153" xfId="332" applyFont="1" applyFill="1" applyBorder="1" applyAlignment="1">
      <alignment horizontal="center" vertical="center"/>
    </xf>
    <xf numFmtId="0" fontId="47" fillId="34" borderId="177" xfId="332" applyFont="1" applyFill="1" applyBorder="1" applyAlignment="1">
      <alignment horizontal="center" vertical="center"/>
    </xf>
    <xf numFmtId="0" fontId="47" fillId="34" borderId="1" xfId="332" applyFont="1" applyFill="1" applyBorder="1" applyAlignment="1">
      <alignment horizontal="center" vertical="center"/>
    </xf>
    <xf numFmtId="0" fontId="47" fillId="34" borderId="3" xfId="332" applyFont="1" applyFill="1" applyBorder="1" applyAlignment="1">
      <alignment horizontal="center" vertical="center"/>
    </xf>
    <xf numFmtId="0" fontId="47" fillId="34" borderId="129" xfId="332" applyFont="1" applyFill="1" applyBorder="1" applyAlignment="1">
      <alignment horizontal="center" vertical="center"/>
    </xf>
    <xf numFmtId="0" fontId="47" fillId="34" borderId="133" xfId="332" applyFont="1" applyFill="1" applyBorder="1" applyAlignment="1">
      <alignment horizontal="center" vertical="center"/>
    </xf>
    <xf numFmtId="0" fontId="46" fillId="41" borderId="5" xfId="332" applyFont="1" applyFill="1" applyBorder="1" applyAlignment="1">
      <alignment horizontal="center" vertical="center"/>
    </xf>
    <xf numFmtId="0" fontId="46" fillId="41" borderId="127" xfId="332" applyFont="1" applyFill="1" applyBorder="1" applyAlignment="1">
      <alignment horizontal="center" vertical="center"/>
    </xf>
    <xf numFmtId="0" fontId="46" fillId="42" borderId="4" xfId="332" applyFont="1" applyFill="1" applyBorder="1" applyAlignment="1">
      <alignment horizontal="center" vertical="center"/>
    </xf>
    <xf numFmtId="0" fontId="46" fillId="42" borderId="129" xfId="332" applyFont="1" applyFill="1" applyBorder="1" applyAlignment="1">
      <alignment horizontal="center" vertical="center"/>
    </xf>
    <xf numFmtId="0" fontId="46" fillId="42" borderId="5" xfId="332" applyFont="1" applyFill="1" applyBorder="1" applyAlignment="1">
      <alignment horizontal="center" vertical="center"/>
    </xf>
    <xf numFmtId="0" fontId="46" fillId="42" borderId="127" xfId="332" applyFont="1" applyFill="1" applyBorder="1" applyAlignment="1">
      <alignment horizontal="center" vertical="center"/>
    </xf>
    <xf numFmtId="0" fontId="46" fillId="44" borderId="6" xfId="332" applyFont="1" applyFill="1" applyBorder="1" applyAlignment="1">
      <alignment horizontal="center" vertical="center"/>
    </xf>
    <xf numFmtId="0" fontId="46" fillId="44" borderId="128" xfId="332" applyFont="1" applyFill="1" applyBorder="1" applyAlignment="1">
      <alignment horizontal="center" vertical="center"/>
    </xf>
    <xf numFmtId="0" fontId="46" fillId="44" borderId="4" xfId="332" applyFont="1" applyFill="1" applyBorder="1" applyAlignment="1">
      <alignment horizontal="center" vertical="center"/>
    </xf>
    <xf numFmtId="0" fontId="46" fillId="44" borderId="129" xfId="332" applyFont="1" applyFill="1" applyBorder="1" applyAlignment="1">
      <alignment horizontal="center" vertical="center"/>
    </xf>
    <xf numFmtId="0" fontId="47" fillId="34" borderId="134" xfId="332" applyFont="1" applyFill="1" applyBorder="1" applyAlignment="1">
      <alignment horizontal="center" vertical="center" textRotation="90" wrapText="1"/>
    </xf>
    <xf numFmtId="0" fontId="47" fillId="34" borderId="40" xfId="332" applyFont="1" applyFill="1" applyBorder="1" applyAlignment="1">
      <alignment horizontal="center" vertical="center" textRotation="90" wrapText="1"/>
    </xf>
    <xf numFmtId="0" fontId="47" fillId="34" borderId="138" xfId="332" applyFont="1" applyFill="1" applyBorder="1" applyAlignment="1">
      <alignment horizontal="center" vertical="center" textRotation="90" wrapText="1"/>
    </xf>
    <xf numFmtId="0" fontId="47" fillId="34" borderId="178" xfId="332" applyFont="1" applyFill="1" applyBorder="1" applyAlignment="1">
      <alignment horizontal="left" vertical="center"/>
    </xf>
    <xf numFmtId="0" fontId="47" fillId="34" borderId="142" xfId="332" applyFont="1" applyFill="1" applyBorder="1" applyAlignment="1">
      <alignment horizontal="left" vertical="center"/>
    </xf>
    <xf numFmtId="0" fontId="47" fillId="34" borderId="22" xfId="332" applyFont="1" applyFill="1" applyBorder="1" applyAlignment="1">
      <alignment horizontal="left" vertical="center"/>
    </xf>
    <xf numFmtId="0" fontId="49" fillId="2" borderId="8" xfId="332" applyFont="1" applyFill="1" applyBorder="1" applyAlignment="1">
      <alignment horizontal="center"/>
    </xf>
    <xf numFmtId="0" fontId="54" fillId="0" borderId="12" xfId="0" applyFont="1" applyBorder="1" applyAlignment="1">
      <alignment horizontal="center"/>
    </xf>
    <xf numFmtId="0" fontId="46" fillId="41" borderId="6" xfId="332" applyFont="1" applyFill="1" applyBorder="1" applyAlignment="1">
      <alignment horizontal="center" vertical="center"/>
    </xf>
    <xf numFmtId="0" fontId="46" fillId="41" borderId="128" xfId="332" applyFont="1" applyFill="1" applyBorder="1" applyAlignment="1">
      <alignment horizontal="center" vertical="center"/>
    </xf>
    <xf numFmtId="0" fontId="46" fillId="41" borderId="4" xfId="332" applyFont="1" applyFill="1" applyBorder="1" applyAlignment="1">
      <alignment horizontal="center" vertical="center"/>
    </xf>
    <xf numFmtId="0" fontId="46" fillId="41" borderId="129" xfId="332" applyFont="1" applyFill="1" applyBorder="1" applyAlignment="1">
      <alignment horizontal="center" vertical="center"/>
    </xf>
    <xf numFmtId="0" fontId="45" fillId="2" borderId="1" xfId="332" applyFont="1" applyFill="1" applyBorder="1" applyAlignment="1">
      <alignment horizontal="center" vertical="center" wrapText="1"/>
    </xf>
    <xf numFmtId="0" fontId="45" fillId="2" borderId="0" xfId="332" applyFont="1" applyFill="1" applyAlignment="1">
      <alignment horizontal="center" vertical="center" wrapText="1"/>
    </xf>
    <xf numFmtId="0" fontId="45" fillId="2" borderId="7" xfId="332" applyFont="1" applyFill="1" applyBorder="1" applyAlignment="1">
      <alignment horizontal="center" vertical="center" wrapText="1"/>
    </xf>
    <xf numFmtId="0" fontId="45" fillId="2" borderId="191" xfId="332" applyFont="1" applyFill="1" applyBorder="1" applyAlignment="1">
      <alignment horizontal="center" vertical="center" wrapText="1"/>
    </xf>
    <xf numFmtId="0" fontId="45" fillId="2" borderId="127" xfId="332" applyFont="1" applyFill="1" applyBorder="1" applyAlignment="1">
      <alignment horizontal="center" vertical="center" wrapText="1"/>
    </xf>
    <xf numFmtId="0" fontId="45" fillId="2" borderId="128" xfId="332" applyFont="1" applyFill="1" applyBorder="1" applyAlignment="1">
      <alignment horizontal="center" vertical="center" wrapText="1"/>
    </xf>
    <xf numFmtId="0" fontId="46" fillId="2" borderId="9" xfId="332" applyFont="1" applyFill="1" applyBorder="1" applyAlignment="1">
      <alignment horizontal="center"/>
    </xf>
    <xf numFmtId="0" fontId="46" fillId="2" borderId="18" xfId="332" applyFont="1" applyFill="1" applyBorder="1" applyAlignment="1">
      <alignment horizontal="center"/>
    </xf>
    <xf numFmtId="0" fontId="47" fillId="34" borderId="144" xfId="332" applyFont="1" applyFill="1" applyBorder="1" applyAlignment="1">
      <alignment horizontal="center" vertical="center"/>
    </xf>
    <xf numFmtId="0" fontId="47" fillId="34" borderId="36" xfId="332" applyFont="1" applyFill="1" applyBorder="1" applyAlignment="1">
      <alignment horizontal="center" vertical="center"/>
    </xf>
    <xf numFmtId="0" fontId="46" fillId="7" borderId="5" xfId="332" applyFont="1" applyFill="1" applyBorder="1" applyAlignment="1">
      <alignment horizontal="center" vertical="center"/>
    </xf>
    <xf numFmtId="0" fontId="46" fillId="7" borderId="127" xfId="332" applyFont="1" applyFill="1" applyBorder="1" applyAlignment="1">
      <alignment horizontal="center" vertical="center"/>
    </xf>
    <xf numFmtId="0" fontId="46" fillId="7" borderId="4" xfId="332" applyFont="1" applyFill="1" applyBorder="1" applyAlignment="1">
      <alignment horizontal="center" vertical="center"/>
    </xf>
    <xf numFmtId="0" fontId="46" fillId="7" borderId="129" xfId="332" applyFont="1" applyFill="1" applyBorder="1" applyAlignment="1">
      <alignment horizontal="center" vertical="center"/>
    </xf>
    <xf numFmtId="0" fontId="46" fillId="7" borderId="6" xfId="332" applyFont="1" applyFill="1" applyBorder="1" applyAlignment="1">
      <alignment horizontal="center" vertical="center"/>
    </xf>
    <xf numFmtId="0" fontId="46" fillId="7" borderId="128" xfId="332" applyFont="1" applyFill="1" applyBorder="1" applyAlignment="1">
      <alignment horizontal="center" vertical="center"/>
    </xf>
    <xf numFmtId="0" fontId="46" fillId="42" borderId="6" xfId="332" applyFont="1" applyFill="1" applyBorder="1" applyAlignment="1">
      <alignment horizontal="center" vertical="center"/>
    </xf>
    <xf numFmtId="0" fontId="46" fillId="42" borderId="128" xfId="332" applyFont="1" applyFill="1" applyBorder="1" applyAlignment="1">
      <alignment horizontal="center" vertical="center"/>
    </xf>
    <xf numFmtId="167" fontId="51" fillId="32" borderId="140" xfId="332" applyNumberFormat="1" applyFont="1" applyFill="1" applyBorder="1" applyAlignment="1">
      <alignment horizontal="center" vertical="center" wrapText="1"/>
    </xf>
    <xf numFmtId="167" fontId="51" fillId="32" borderId="34" xfId="332" applyNumberFormat="1" applyFont="1" applyFill="1" applyBorder="1" applyAlignment="1">
      <alignment horizontal="center" vertical="center" wrapText="1"/>
    </xf>
    <xf numFmtId="167" fontId="51" fillId="32" borderId="33" xfId="332" applyNumberFormat="1" applyFont="1" applyFill="1" applyBorder="1" applyAlignment="1">
      <alignment horizontal="center" vertical="center" wrapText="1"/>
    </xf>
    <xf numFmtId="0" fontId="101" fillId="34" borderId="29" xfId="332" applyFont="1" applyFill="1" applyBorder="1" applyAlignment="1">
      <alignment horizontal="center" vertical="center" wrapText="1"/>
    </xf>
    <xf numFmtId="0" fontId="101" fillId="34" borderId="157" xfId="332" applyFont="1" applyFill="1" applyBorder="1" applyAlignment="1">
      <alignment horizontal="center" vertical="center" wrapText="1"/>
    </xf>
    <xf numFmtId="16" fontId="101" fillId="34" borderId="157" xfId="332" applyNumberFormat="1" applyFont="1" applyFill="1" applyBorder="1" applyAlignment="1">
      <alignment horizontal="center" vertical="center" wrapText="1"/>
    </xf>
    <xf numFmtId="16" fontId="101" fillId="34" borderId="157" xfId="332" quotePrefix="1" applyNumberFormat="1" applyFont="1" applyFill="1" applyBorder="1" applyAlignment="1">
      <alignment horizontal="center" vertical="center" wrapText="1"/>
    </xf>
    <xf numFmtId="16" fontId="101" fillId="34" borderId="137" xfId="332" applyNumberFormat="1" applyFont="1" applyFill="1" applyBorder="1" applyAlignment="1">
      <alignment horizontal="center" vertical="center" wrapText="1"/>
    </xf>
    <xf numFmtId="0" fontId="48" fillId="36" borderId="24" xfId="332" applyFont="1" applyFill="1" applyBorder="1" applyAlignment="1">
      <alignment horizontal="center" vertical="center" wrapText="1"/>
    </xf>
    <xf numFmtId="0" fontId="48" fillId="36" borderId="34" xfId="332" applyFont="1" applyFill="1" applyBorder="1" applyAlignment="1">
      <alignment horizontal="center" vertical="center" wrapText="1"/>
    </xf>
    <xf numFmtId="0" fontId="48" fillId="36" borderId="33" xfId="332" applyFont="1" applyFill="1" applyBorder="1" applyAlignment="1">
      <alignment horizontal="center" vertical="center" wrapText="1"/>
    </xf>
    <xf numFmtId="0" fontId="48" fillId="47" borderId="24" xfId="332" applyFont="1" applyFill="1" applyBorder="1" applyAlignment="1">
      <alignment horizontal="center" vertical="center" wrapText="1"/>
    </xf>
    <xf numFmtId="0" fontId="48" fillId="47" borderId="34" xfId="332" applyFont="1" applyFill="1" applyBorder="1" applyAlignment="1">
      <alignment horizontal="center" vertical="center" wrapText="1"/>
    </xf>
    <xf numFmtId="0" fontId="48" fillId="47" borderId="33" xfId="332" applyFont="1" applyFill="1" applyBorder="1" applyAlignment="1">
      <alignment horizontal="center" vertical="center" wrapText="1"/>
    </xf>
    <xf numFmtId="0" fontId="51" fillId="2" borderId="144" xfId="332" applyFont="1" applyFill="1" applyBorder="1" applyAlignment="1">
      <alignment horizontal="center" vertical="center" wrapText="1"/>
    </xf>
    <xf numFmtId="0" fontId="51" fillId="2" borderId="139" xfId="332" applyFont="1" applyFill="1" applyBorder="1" applyAlignment="1">
      <alignment horizontal="center" vertical="center" wrapText="1"/>
    </xf>
    <xf numFmtId="0" fontId="51" fillId="2" borderId="136" xfId="332" applyFont="1" applyFill="1" applyBorder="1" applyAlignment="1">
      <alignment horizontal="center" vertical="center" wrapText="1"/>
    </xf>
    <xf numFmtId="3" fontId="51" fillId="32" borderId="40" xfId="332" applyNumberFormat="1" applyFont="1" applyFill="1" applyBorder="1" applyAlignment="1">
      <alignment horizontal="center" vertical="center" wrapText="1"/>
    </xf>
    <xf numFmtId="3" fontId="51" fillId="32" borderId="138" xfId="332" applyNumberFormat="1" applyFont="1" applyFill="1" applyBorder="1" applyAlignment="1">
      <alignment horizontal="center" vertical="center" wrapText="1"/>
    </xf>
    <xf numFmtId="3" fontId="51" fillId="32" borderId="22" xfId="332" applyNumberFormat="1" applyFont="1" applyFill="1" applyBorder="1" applyAlignment="1">
      <alignment horizontal="center" vertical="center" wrapText="1"/>
    </xf>
    <xf numFmtId="3" fontId="51" fillId="32" borderId="145" xfId="332" applyNumberFormat="1" applyFont="1" applyFill="1" applyBorder="1" applyAlignment="1">
      <alignment horizontal="center" vertical="center" wrapText="1"/>
    </xf>
    <xf numFmtId="3" fontId="51" fillId="32" borderId="3" xfId="332" applyNumberFormat="1" applyFont="1" applyFill="1" applyBorder="1" applyAlignment="1">
      <alignment horizontal="center" vertical="center" wrapText="1"/>
    </xf>
    <xf numFmtId="3" fontId="51" fillId="32" borderId="133" xfId="332" applyNumberFormat="1" applyFont="1" applyFill="1" applyBorder="1" applyAlignment="1">
      <alignment horizontal="center" vertical="center" wrapText="1"/>
    </xf>
    <xf numFmtId="0" fontId="48" fillId="36" borderId="8" xfId="332" applyFont="1" applyFill="1" applyBorder="1" applyAlignment="1">
      <alignment horizontal="center" wrapText="1"/>
    </xf>
    <xf numFmtId="0" fontId="48" fillId="36" borderId="11" xfId="332" applyFont="1" applyFill="1" applyBorder="1" applyAlignment="1">
      <alignment horizontal="center" wrapText="1"/>
    </xf>
    <xf numFmtId="0" fontId="48" fillId="36" borderId="12" xfId="332" applyFont="1" applyFill="1" applyBorder="1" applyAlignment="1">
      <alignment horizontal="center" wrapText="1"/>
    </xf>
    <xf numFmtId="0" fontId="51" fillId="2" borderId="24" xfId="332" applyFont="1" applyFill="1" applyBorder="1" applyAlignment="1">
      <alignment horizontal="center" vertical="center" wrapText="1"/>
    </xf>
    <xf numFmtId="0" fontId="51" fillId="2" borderId="34" xfId="332" applyFont="1" applyFill="1" applyBorder="1" applyAlignment="1">
      <alignment horizontal="center" vertical="center" wrapText="1"/>
    </xf>
    <xf numFmtId="0" fontId="51" fillId="2" borderId="39" xfId="332" applyFont="1" applyFill="1" applyBorder="1" applyAlignment="1">
      <alignment horizontal="center" vertical="center" wrapText="1"/>
    </xf>
    <xf numFmtId="0" fontId="51" fillId="2" borderId="21" xfId="332" applyFont="1" applyFill="1" applyBorder="1" applyAlignment="1">
      <alignment horizontal="center" vertical="center" wrapText="1"/>
    </xf>
    <xf numFmtId="0" fontId="51" fillId="2" borderId="140" xfId="332" applyFont="1" applyFill="1" applyBorder="1" applyAlignment="1">
      <alignment horizontal="center" vertical="center" wrapText="1"/>
    </xf>
    <xf numFmtId="0" fontId="51" fillId="2" borderId="35" xfId="332" applyFont="1" applyFill="1" applyBorder="1" applyAlignment="1">
      <alignment horizontal="center" vertical="center" wrapText="1"/>
    </xf>
    <xf numFmtId="0" fontId="51" fillId="2" borderId="33" xfId="332" applyFont="1" applyFill="1" applyBorder="1" applyAlignment="1">
      <alignment horizontal="center" vertical="center" wrapText="1"/>
    </xf>
    <xf numFmtId="0" fontId="51" fillId="2" borderId="29" xfId="332" applyFont="1" applyFill="1" applyBorder="1" applyAlignment="1">
      <alignment horizontal="center" vertical="center" wrapText="1"/>
    </xf>
    <xf numFmtId="0" fontId="48" fillId="48" borderId="24" xfId="332" applyFont="1" applyFill="1" applyBorder="1" applyAlignment="1">
      <alignment horizontal="center" vertical="center" wrapText="1"/>
    </xf>
    <xf numFmtId="0" fontId="48" fillId="48" borderId="34" xfId="332" applyFont="1" applyFill="1" applyBorder="1" applyAlignment="1">
      <alignment horizontal="center" vertical="center" wrapText="1"/>
    </xf>
    <xf numFmtId="0" fontId="48" fillId="48" borderId="33" xfId="332" applyFont="1" applyFill="1" applyBorder="1" applyAlignment="1">
      <alignment horizontal="center" vertical="center" wrapText="1"/>
    </xf>
    <xf numFmtId="0" fontId="48" fillId="48" borderId="34" xfId="332" applyFont="1" applyFill="1" applyBorder="1" applyAlignment="1">
      <alignment horizontal="center" vertical="center"/>
    </xf>
    <xf numFmtId="0" fontId="48" fillId="48" borderId="33" xfId="332" applyFont="1" applyFill="1" applyBorder="1" applyAlignment="1">
      <alignment horizontal="center" vertical="center"/>
    </xf>
    <xf numFmtId="0" fontId="48" fillId="48" borderId="8" xfId="332" applyFont="1" applyFill="1" applyBorder="1" applyAlignment="1">
      <alignment horizontal="center" wrapText="1"/>
    </xf>
    <xf numFmtId="0" fontId="48" fillId="48" borderId="11" xfId="332" applyFont="1" applyFill="1" applyBorder="1" applyAlignment="1">
      <alignment horizontal="center" wrapText="1"/>
    </xf>
    <xf numFmtId="0" fontId="48" fillId="48" borderId="12" xfId="332" applyFont="1" applyFill="1" applyBorder="1" applyAlignment="1">
      <alignment horizontal="center" wrapText="1"/>
    </xf>
    <xf numFmtId="167" fontId="51" fillId="32" borderId="24" xfId="332" applyNumberFormat="1" applyFont="1" applyFill="1" applyBorder="1" applyAlignment="1">
      <alignment horizontal="center" vertical="center" wrapText="1"/>
    </xf>
    <xf numFmtId="167" fontId="51" fillId="32" borderId="35" xfId="332" applyNumberFormat="1" applyFont="1" applyFill="1" applyBorder="1" applyAlignment="1">
      <alignment horizontal="center" vertical="center" wrapText="1"/>
    </xf>
    <xf numFmtId="1" fontId="48" fillId="4" borderId="9" xfId="332" applyNumberFormat="1" applyFont="1" applyFill="1" applyBorder="1" applyAlignment="1">
      <alignment horizontal="center" wrapText="1"/>
    </xf>
    <xf numFmtId="1" fontId="48" fillId="4" borderId="18" xfId="332" applyNumberFormat="1" applyFont="1" applyFill="1" applyBorder="1" applyAlignment="1">
      <alignment horizontal="center" wrapText="1"/>
    </xf>
    <xf numFmtId="1" fontId="48" fillId="4" borderId="10" xfId="332" applyNumberFormat="1" applyFont="1" applyFill="1" applyBorder="1" applyAlignment="1">
      <alignment horizontal="center" wrapText="1"/>
    </xf>
    <xf numFmtId="1" fontId="51" fillId="4" borderId="9" xfId="332" applyNumberFormat="1" applyFont="1" applyFill="1" applyBorder="1" applyAlignment="1">
      <alignment horizontal="center" wrapText="1"/>
    </xf>
    <xf numFmtId="1" fontId="51" fillId="4" borderId="18" xfId="332" applyNumberFormat="1" applyFont="1" applyFill="1" applyBorder="1" applyAlignment="1">
      <alignment horizontal="center" wrapText="1"/>
    </xf>
    <xf numFmtId="1" fontId="51" fillId="4" borderId="10" xfId="332" applyNumberFormat="1" applyFont="1" applyFill="1" applyBorder="1" applyAlignment="1">
      <alignment horizontal="center" wrapText="1"/>
    </xf>
    <xf numFmtId="0" fontId="48" fillId="47" borderId="8" xfId="332" applyFont="1" applyFill="1" applyBorder="1" applyAlignment="1">
      <alignment horizontal="center" wrapText="1"/>
    </xf>
    <xf numFmtId="0" fontId="48" fillId="47" borderId="11" xfId="332" applyFont="1" applyFill="1" applyBorder="1" applyAlignment="1">
      <alignment horizontal="center" wrapText="1"/>
    </xf>
    <xf numFmtId="0" fontId="48" fillId="47" borderId="12" xfId="332" applyFont="1" applyFill="1" applyBorder="1" applyAlignment="1">
      <alignment horizontal="center" wrapText="1"/>
    </xf>
    <xf numFmtId="0" fontId="46" fillId="41" borderId="0" xfId="332" applyFont="1" applyFill="1" applyAlignment="1">
      <alignment horizontal="center" vertical="center"/>
    </xf>
    <xf numFmtId="0" fontId="46" fillId="41" borderId="7" xfId="332" applyFont="1" applyFill="1" applyBorder="1" applyAlignment="1">
      <alignment horizontal="center" vertical="center"/>
    </xf>
    <xf numFmtId="0" fontId="49" fillId="34" borderId="135" xfId="332" applyFont="1" applyFill="1" applyBorder="1" applyAlignment="1">
      <alignment horizontal="center" vertical="center"/>
    </xf>
    <xf numFmtId="0" fontId="49" fillId="34" borderId="40" xfId="332" applyFont="1" applyFill="1" applyBorder="1" applyAlignment="1">
      <alignment horizontal="center" vertical="center"/>
    </xf>
    <xf numFmtId="0" fontId="46" fillId="41" borderId="1" xfId="332" applyFont="1" applyFill="1" applyBorder="1" applyAlignment="1">
      <alignment horizontal="center" vertical="center"/>
    </xf>
    <xf numFmtId="0" fontId="48" fillId="48" borderId="5" xfId="332" applyFont="1" applyFill="1" applyBorder="1" applyAlignment="1">
      <alignment horizontal="center" wrapText="1"/>
    </xf>
    <xf numFmtId="0" fontId="48" fillId="48" borderId="6" xfId="332" applyFont="1" applyFill="1" applyBorder="1" applyAlignment="1">
      <alignment horizontal="center" wrapText="1"/>
    </xf>
    <xf numFmtId="0" fontId="48" fillId="48" borderId="4" xfId="332" applyFont="1" applyFill="1" applyBorder="1" applyAlignment="1">
      <alignment horizontal="center" vertical="center" wrapText="1"/>
    </xf>
    <xf numFmtId="0" fontId="48" fillId="48" borderId="1" xfId="332" applyFont="1" applyFill="1" applyBorder="1" applyAlignment="1">
      <alignment horizontal="center" vertical="center" wrapText="1"/>
    </xf>
    <xf numFmtId="0" fontId="48" fillId="48" borderId="191" xfId="332" applyFont="1" applyFill="1" applyBorder="1" applyAlignment="1">
      <alignment horizontal="center" vertical="center" wrapText="1"/>
    </xf>
    <xf numFmtId="0" fontId="46" fillId="46" borderId="4" xfId="332" applyFont="1" applyFill="1" applyBorder="1" applyAlignment="1">
      <alignment horizontal="center" vertical="center"/>
    </xf>
    <xf numFmtId="0" fontId="46" fillId="46" borderId="129" xfId="332" applyFont="1" applyFill="1" applyBorder="1" applyAlignment="1">
      <alignment horizontal="center" vertical="center"/>
    </xf>
    <xf numFmtId="0" fontId="46" fillId="46" borderId="5" xfId="332" applyFont="1" applyFill="1" applyBorder="1" applyAlignment="1">
      <alignment horizontal="center" vertical="center"/>
    </xf>
    <xf numFmtId="0" fontId="46" fillId="46" borderId="127" xfId="332" applyFont="1" applyFill="1" applyBorder="1" applyAlignment="1">
      <alignment horizontal="center" vertical="center"/>
    </xf>
    <xf numFmtId="0" fontId="46" fillId="46" borderId="6" xfId="332" applyFont="1" applyFill="1" applyBorder="1" applyAlignment="1">
      <alignment horizontal="center" vertical="center"/>
    </xf>
    <xf numFmtId="0" fontId="46" fillId="46" borderId="128" xfId="332" applyFont="1" applyFill="1" applyBorder="1" applyAlignment="1">
      <alignment horizontal="center" vertical="center"/>
    </xf>
    <xf numFmtId="0" fontId="46" fillId="39" borderId="6" xfId="332" applyFont="1" applyFill="1" applyBorder="1" applyAlignment="1">
      <alignment horizontal="center" vertical="center"/>
    </xf>
    <xf numFmtId="0" fontId="46" fillId="39" borderId="128" xfId="332" applyFont="1" applyFill="1" applyBorder="1" applyAlignment="1">
      <alignment horizontal="center" vertical="center"/>
    </xf>
    <xf numFmtId="0" fontId="46" fillId="39" borderId="5" xfId="332" applyFont="1" applyFill="1" applyBorder="1" applyAlignment="1">
      <alignment horizontal="center" vertical="center"/>
    </xf>
    <xf numFmtId="0" fontId="46" fillId="39" borderId="127" xfId="332" applyFont="1" applyFill="1" applyBorder="1" applyAlignment="1">
      <alignment horizontal="center" vertical="center"/>
    </xf>
    <xf numFmtId="0" fontId="46" fillId="39" borderId="4" xfId="332" applyFont="1" applyFill="1" applyBorder="1" applyAlignment="1">
      <alignment horizontal="center" vertical="center"/>
    </xf>
    <xf numFmtId="0" fontId="46" fillId="39" borderId="129" xfId="332" applyFont="1" applyFill="1" applyBorder="1" applyAlignment="1">
      <alignment horizontal="center" vertical="center"/>
    </xf>
    <xf numFmtId="0" fontId="49" fillId="34" borderId="29" xfId="332" applyFont="1" applyFill="1" applyBorder="1" applyAlignment="1">
      <alignment horizontal="center" vertical="center" wrapText="1"/>
    </xf>
    <xf numFmtId="0" fontId="49" fillId="34" borderId="157" xfId="332" applyFont="1" applyFill="1" applyBorder="1" applyAlignment="1">
      <alignment horizontal="center" vertical="center" wrapText="1"/>
    </xf>
    <xf numFmtId="0" fontId="49" fillId="34" borderId="27" xfId="332" applyFont="1" applyFill="1" applyBorder="1" applyAlignment="1">
      <alignment horizontal="center" vertical="center" wrapText="1"/>
    </xf>
    <xf numFmtId="0" fontId="46" fillId="39" borderId="1" xfId="332" applyFont="1" applyFill="1" applyBorder="1" applyAlignment="1">
      <alignment horizontal="center" vertical="center"/>
    </xf>
    <xf numFmtId="0" fontId="46" fillId="39" borderId="0" xfId="332" applyFont="1" applyFill="1" applyAlignment="1">
      <alignment horizontal="center" vertical="center"/>
    </xf>
    <xf numFmtId="0" fontId="46" fillId="39" borderId="7" xfId="332" applyFont="1" applyFill="1" applyBorder="1" applyAlignment="1">
      <alignment horizontal="center" vertical="center"/>
    </xf>
    <xf numFmtId="0" fontId="101" fillId="32" borderId="29" xfId="332" applyFont="1" applyFill="1" applyBorder="1" applyAlignment="1">
      <alignment horizontal="center" vertical="center" wrapText="1"/>
    </xf>
    <xf numFmtId="0" fontId="101" fillId="32" borderId="157" xfId="332" applyFont="1" applyFill="1" applyBorder="1" applyAlignment="1">
      <alignment horizontal="center" vertical="center" wrapText="1"/>
    </xf>
    <xf numFmtId="16" fontId="101" fillId="32" borderId="157" xfId="332" applyNumberFormat="1" applyFont="1" applyFill="1" applyBorder="1" applyAlignment="1">
      <alignment horizontal="center" vertical="center" wrapText="1"/>
    </xf>
    <xf numFmtId="16" fontId="101" fillId="32" borderId="157" xfId="332" quotePrefix="1" applyNumberFormat="1" applyFont="1" applyFill="1" applyBorder="1" applyAlignment="1">
      <alignment horizontal="center" vertical="center" wrapText="1"/>
    </xf>
    <xf numFmtId="16" fontId="101" fillId="32" borderId="137" xfId="332" applyNumberFormat="1" applyFont="1" applyFill="1" applyBorder="1" applyAlignment="1">
      <alignment horizontal="center" vertical="center" wrapText="1"/>
    </xf>
    <xf numFmtId="0" fontId="46" fillId="46" borderId="191" xfId="332" applyFont="1" applyFill="1" applyBorder="1" applyAlignment="1">
      <alignment horizontal="center" vertical="center"/>
    </xf>
    <xf numFmtId="0" fontId="51" fillId="2" borderId="8" xfId="332" applyFont="1" applyFill="1" applyBorder="1" applyAlignment="1">
      <alignment horizontal="center" vertical="center" wrapText="1"/>
    </xf>
    <xf numFmtId="0" fontId="51" fillId="2" borderId="11" xfId="332" applyFont="1" applyFill="1" applyBorder="1" applyAlignment="1">
      <alignment horizontal="center" vertical="center" wrapText="1"/>
    </xf>
    <xf numFmtId="0" fontId="51" fillId="2" borderId="12" xfId="332" applyFont="1" applyFill="1" applyBorder="1" applyAlignment="1">
      <alignment horizontal="center" vertical="center" wrapText="1"/>
    </xf>
    <xf numFmtId="1" fontId="48" fillId="4" borderId="8" xfId="332" applyNumberFormat="1" applyFont="1" applyFill="1" applyBorder="1" applyAlignment="1">
      <alignment horizontal="center" wrapText="1"/>
    </xf>
    <xf numFmtId="1" fontId="48" fillId="4" borderId="11" xfId="332" applyNumberFormat="1" applyFont="1" applyFill="1" applyBorder="1" applyAlignment="1">
      <alignment horizontal="center" wrapText="1"/>
    </xf>
    <xf numFmtId="1" fontId="48" fillId="4" borderId="12" xfId="332" applyNumberFormat="1" applyFont="1" applyFill="1" applyBorder="1" applyAlignment="1">
      <alignment horizontal="center" wrapText="1"/>
    </xf>
    <xf numFmtId="1" fontId="51" fillId="4" borderId="8" xfId="332" applyNumberFormat="1" applyFont="1" applyFill="1" applyBorder="1" applyAlignment="1">
      <alignment horizontal="center" wrapText="1"/>
    </xf>
    <xf numFmtId="1" fontId="51" fillId="4" borderId="11" xfId="332" applyNumberFormat="1" applyFont="1" applyFill="1" applyBorder="1" applyAlignment="1">
      <alignment horizontal="center" wrapText="1"/>
    </xf>
    <xf numFmtId="1" fontId="51" fillId="4" borderId="12" xfId="332" applyNumberFormat="1" applyFont="1" applyFill="1" applyBorder="1" applyAlignment="1">
      <alignment horizontal="center" wrapText="1"/>
    </xf>
    <xf numFmtId="0" fontId="54" fillId="0" borderId="89" xfId="0" applyFont="1" applyBorder="1" applyAlignment="1">
      <alignment horizontal="center" vertical="center" wrapText="1"/>
    </xf>
    <xf numFmtId="0" fontId="54" fillId="0" borderId="93" xfId="0" applyFont="1" applyBorder="1" applyAlignment="1">
      <alignment horizontal="center" vertical="center" wrapText="1"/>
    </xf>
    <xf numFmtId="0" fontId="61" fillId="47" borderId="0" xfId="0" applyFont="1" applyFill="1" applyAlignment="1">
      <alignment horizontal="left" vertical="top" wrapText="1"/>
    </xf>
    <xf numFmtId="0" fontId="54" fillId="0" borderId="73" xfId="0" applyFont="1" applyBorder="1" applyAlignment="1">
      <alignment horizontal="center" vertical="center"/>
    </xf>
    <xf numFmtId="0" fontId="54" fillId="0" borderId="56" xfId="0" applyFont="1" applyBorder="1" applyAlignment="1">
      <alignment horizontal="center" vertical="center"/>
    </xf>
    <xf numFmtId="0" fontId="54" fillId="0" borderId="216" xfId="0" applyFont="1" applyBorder="1" applyAlignment="1">
      <alignment horizontal="center" vertical="center" wrapText="1"/>
    </xf>
    <xf numFmtId="0" fontId="54" fillId="0" borderId="217" xfId="0" applyFont="1" applyBorder="1" applyAlignment="1">
      <alignment horizontal="center" vertical="center" wrapText="1"/>
    </xf>
    <xf numFmtId="0" fontId="54" fillId="0" borderId="212" xfId="0" applyFont="1" applyBorder="1" applyAlignment="1">
      <alignment horizontal="center" vertical="center" wrapText="1"/>
    </xf>
    <xf numFmtId="0" fontId="54" fillId="0" borderId="213" xfId="0" applyFont="1" applyBorder="1" applyAlignment="1">
      <alignment horizontal="center" vertical="center" wrapText="1"/>
    </xf>
    <xf numFmtId="0" fontId="54" fillId="0" borderId="214" xfId="0" applyFont="1" applyBorder="1" applyAlignment="1">
      <alignment horizontal="center" vertical="center" wrapText="1"/>
    </xf>
    <xf numFmtId="0" fontId="54" fillId="0" borderId="215" xfId="0" applyFont="1" applyBorder="1" applyAlignment="1">
      <alignment horizontal="center" vertical="center" wrapText="1"/>
    </xf>
    <xf numFmtId="0" fontId="54" fillId="0" borderId="199" xfId="0" applyFont="1" applyBorder="1" applyAlignment="1">
      <alignment horizontal="center" vertical="center" wrapText="1"/>
    </xf>
    <xf numFmtId="0" fontId="54" fillId="0" borderId="211" xfId="0" applyFont="1" applyBorder="1" applyAlignment="1">
      <alignment horizontal="center" vertical="center" wrapText="1"/>
    </xf>
    <xf numFmtId="0" fontId="54" fillId="0" borderId="202" xfId="0" applyFont="1" applyBorder="1" applyAlignment="1">
      <alignment horizontal="center" vertical="center" wrapText="1"/>
    </xf>
    <xf numFmtId="0" fontId="54" fillId="0" borderId="52" xfId="0" applyFont="1" applyBorder="1" applyAlignment="1">
      <alignment horizontal="center" vertical="center" wrapText="1"/>
    </xf>
    <xf numFmtId="0" fontId="54" fillId="0" borderId="204" xfId="0" applyFont="1" applyBorder="1" applyAlignment="1">
      <alignment horizontal="center" vertical="center" wrapText="1"/>
    </xf>
    <xf numFmtId="0" fontId="54" fillId="0" borderId="132" xfId="0" applyFont="1" applyBorder="1" applyAlignment="1">
      <alignment horizontal="center" vertical="center" wrapText="1"/>
    </xf>
    <xf numFmtId="0" fontId="54" fillId="0" borderId="200" xfId="0" applyFont="1" applyBorder="1" applyAlignment="1">
      <alignment horizontal="center" vertical="center" wrapText="1"/>
    </xf>
    <xf numFmtId="0" fontId="54" fillId="0" borderId="206" xfId="0" applyFont="1" applyBorder="1" applyAlignment="1">
      <alignment horizontal="center" vertical="center" wrapText="1"/>
    </xf>
    <xf numFmtId="0" fontId="54" fillId="0" borderId="207" xfId="0" applyFont="1" applyBorder="1" applyAlignment="1">
      <alignment horizontal="center" vertical="center" wrapText="1"/>
    </xf>
    <xf numFmtId="0" fontId="54" fillId="0" borderId="209" xfId="0" applyFont="1" applyBorder="1" applyAlignment="1">
      <alignment horizontal="center" vertical="center" wrapText="1"/>
    </xf>
    <xf numFmtId="0" fontId="54" fillId="0" borderId="210" xfId="0" applyFont="1" applyBorder="1" applyAlignment="1">
      <alignment horizontal="center" vertical="center" wrapText="1"/>
    </xf>
    <xf numFmtId="0" fontId="46" fillId="41" borderId="191" xfId="332" applyFont="1" applyFill="1" applyBorder="1" applyAlignment="1">
      <alignment horizontal="center" vertical="center"/>
    </xf>
    <xf numFmtId="0" fontId="48" fillId="47" borderId="11" xfId="332" applyFont="1" applyFill="1" applyBorder="1" applyAlignment="1">
      <alignment horizontal="center" vertical="center" wrapText="1"/>
    </xf>
    <xf numFmtId="0" fontId="48" fillId="47" borderId="12" xfId="332" applyFont="1" applyFill="1" applyBorder="1" applyAlignment="1">
      <alignment horizontal="center" vertical="center" wrapText="1"/>
    </xf>
    <xf numFmtId="0" fontId="45" fillId="2" borderId="191" xfId="332" applyFont="1" applyFill="1" applyBorder="1" applyAlignment="1">
      <alignment horizontal="left" vertical="center"/>
    </xf>
    <xf numFmtId="1" fontId="104" fillId="37" borderId="157" xfId="332" applyNumberFormat="1" applyFont="1" applyFill="1" applyBorder="1" applyAlignment="1">
      <alignment horizontal="center" vertical="center" wrapText="1"/>
    </xf>
    <xf numFmtId="1" fontId="104" fillId="37" borderId="158" xfId="332" applyNumberFormat="1" applyFont="1" applyFill="1" applyBorder="1" applyAlignment="1">
      <alignment horizontal="center" vertical="center" wrapText="1"/>
    </xf>
    <xf numFmtId="1" fontId="104" fillId="37" borderId="159" xfId="332" applyNumberFormat="1" applyFont="1" applyFill="1" applyBorder="1" applyAlignment="1">
      <alignment horizontal="center" vertical="center" wrapText="1"/>
    </xf>
    <xf numFmtId="0" fontId="53" fillId="39" borderId="24" xfId="0" applyFont="1" applyFill="1" applyBorder="1" applyAlignment="1">
      <alignment horizontal="center" vertical="center" wrapText="1"/>
    </xf>
    <xf numFmtId="0" fontId="53" fillId="39" borderId="34" xfId="0" applyFont="1" applyFill="1" applyBorder="1" applyAlignment="1">
      <alignment horizontal="center" vertical="center" wrapText="1"/>
    </xf>
    <xf numFmtId="0" fontId="53" fillId="39" borderId="33" xfId="0" applyFont="1" applyFill="1" applyBorder="1" applyAlignment="1">
      <alignment horizontal="center" vertical="center" wrapText="1"/>
    </xf>
    <xf numFmtId="0" fontId="45" fillId="36" borderId="8" xfId="0" applyFont="1" applyFill="1" applyBorder="1" applyAlignment="1">
      <alignment horizontal="center" vertical="center"/>
    </xf>
    <xf numFmtId="0" fontId="45" fillId="36" borderId="11" xfId="0" applyFont="1" applyFill="1" applyBorder="1" applyAlignment="1">
      <alignment horizontal="center" vertical="center"/>
    </xf>
    <xf numFmtId="0" fontId="45" fillId="36" borderId="12" xfId="0" applyFont="1" applyFill="1" applyBorder="1" applyAlignment="1">
      <alignment horizontal="center" vertical="center"/>
    </xf>
    <xf numFmtId="0" fontId="49" fillId="34" borderId="168" xfId="0" applyFont="1" applyFill="1" applyBorder="1" applyAlignment="1">
      <alignment horizontal="center" vertical="center" textRotation="90" wrapText="1"/>
    </xf>
    <xf numFmtId="0" fontId="49" fillId="34" borderId="165" xfId="0" applyFont="1" applyFill="1" applyBorder="1" applyAlignment="1">
      <alignment horizontal="center" vertical="center" textRotation="90" wrapText="1"/>
    </xf>
    <xf numFmtId="0" fontId="49" fillId="34" borderId="166" xfId="0" applyFont="1" applyFill="1" applyBorder="1" applyAlignment="1">
      <alignment horizontal="center" vertical="center" textRotation="90" wrapText="1"/>
    </xf>
    <xf numFmtId="0" fontId="49" fillId="34" borderId="167" xfId="0" applyFont="1" applyFill="1" applyBorder="1" applyAlignment="1">
      <alignment horizontal="center" vertical="center" textRotation="90" wrapText="1"/>
    </xf>
    <xf numFmtId="0" fontId="48" fillId="39" borderId="8" xfId="0" applyFont="1" applyFill="1" applyBorder="1" applyAlignment="1">
      <alignment horizontal="center" vertical="center"/>
    </xf>
    <xf numFmtId="0" fontId="48" fillId="39" borderId="11" xfId="0" applyFont="1" applyFill="1" applyBorder="1" applyAlignment="1">
      <alignment horizontal="center" vertical="center"/>
    </xf>
    <xf numFmtId="0" fontId="48" fillId="39" borderId="12" xfId="0" applyFont="1" applyFill="1" applyBorder="1" applyAlignment="1">
      <alignment horizontal="center" vertical="center"/>
    </xf>
    <xf numFmtId="0" fontId="66" fillId="39" borderId="24" xfId="0" applyFont="1" applyFill="1" applyBorder="1" applyAlignment="1">
      <alignment horizontal="center" vertical="center"/>
    </xf>
    <xf numFmtId="0" fontId="66" fillId="39" borderId="34" xfId="0" applyFont="1" applyFill="1" applyBorder="1" applyAlignment="1">
      <alignment horizontal="center" vertical="center"/>
    </xf>
    <xf numFmtId="0" fontId="66" fillId="39" borderId="33" xfId="0" applyFont="1" applyFill="1" applyBorder="1" applyAlignment="1">
      <alignment horizontal="center" vertical="center"/>
    </xf>
    <xf numFmtId="0" fontId="53" fillId="39" borderId="4" xfId="0" applyFont="1" applyFill="1" applyBorder="1" applyAlignment="1">
      <alignment horizontal="left" vertical="center"/>
    </xf>
    <xf numFmtId="0" fontId="53" fillId="39" borderId="1" xfId="0" applyFont="1" applyFill="1" applyBorder="1" applyAlignment="1">
      <alignment horizontal="left" vertical="center"/>
    </xf>
    <xf numFmtId="0" fontId="53" fillId="39" borderId="129" xfId="0" applyFont="1" applyFill="1" applyBorder="1" applyAlignment="1">
      <alignment horizontal="left" vertical="center"/>
    </xf>
    <xf numFmtId="0" fontId="48" fillId="39" borderId="29" xfId="0" applyFont="1" applyFill="1" applyBorder="1" applyAlignment="1">
      <alignment horizontal="center" vertical="center"/>
    </xf>
    <xf numFmtId="0" fontId="48" fillId="39" borderId="39" xfId="0" applyFont="1" applyFill="1" applyBorder="1" applyAlignment="1">
      <alignment horizontal="center" vertical="center"/>
    </xf>
    <xf numFmtId="0" fontId="45" fillId="39" borderId="24" xfId="0" applyFont="1" applyFill="1" applyBorder="1" applyAlignment="1">
      <alignment horizontal="center" vertical="center"/>
    </xf>
    <xf numFmtId="0" fontId="45" fillId="39" borderId="34" xfId="0" applyFont="1" applyFill="1" applyBorder="1" applyAlignment="1">
      <alignment horizontal="center" vertical="center"/>
    </xf>
    <xf numFmtId="0" fontId="45" fillId="39" borderId="33" xfId="0" applyFont="1" applyFill="1" applyBorder="1" applyAlignment="1">
      <alignment horizontal="center" vertical="center"/>
    </xf>
    <xf numFmtId="0" fontId="49" fillId="34" borderId="165" xfId="0" applyFont="1" applyFill="1" applyBorder="1" applyAlignment="1">
      <alignment horizontal="center" vertical="center" textRotation="90"/>
    </xf>
    <xf numFmtId="0" fontId="54" fillId="49" borderId="4" xfId="0" applyFont="1" applyFill="1" applyBorder="1" applyAlignment="1">
      <alignment horizontal="left" vertical="top"/>
    </xf>
    <xf numFmtId="0" fontId="54" fillId="49" borderId="5" xfId="0" applyFont="1" applyFill="1" applyBorder="1" applyAlignment="1">
      <alignment horizontal="left" vertical="top"/>
    </xf>
    <xf numFmtId="0" fontId="54" fillId="49" borderId="1" xfId="0" applyFont="1" applyFill="1" applyBorder="1" applyAlignment="1">
      <alignment horizontal="left" vertical="top"/>
    </xf>
    <xf numFmtId="0" fontId="54" fillId="49" borderId="0" xfId="0" applyFont="1" applyFill="1" applyAlignment="1">
      <alignment horizontal="left" vertical="top"/>
    </xf>
    <xf numFmtId="0" fontId="54" fillId="49" borderId="129" xfId="0" applyFont="1" applyFill="1" applyBorder="1" applyAlignment="1">
      <alignment horizontal="left" vertical="top"/>
    </xf>
    <xf numFmtId="0" fontId="54" fillId="49" borderId="127" xfId="0" applyFont="1" applyFill="1" applyBorder="1" applyAlignment="1">
      <alignment horizontal="left" vertical="top"/>
    </xf>
    <xf numFmtId="0" fontId="49" fillId="34" borderId="169" xfId="0" applyFont="1" applyFill="1" applyBorder="1" applyAlignment="1">
      <alignment horizontal="center" vertical="center" textRotation="90" wrapText="1"/>
    </xf>
    <xf numFmtId="0" fontId="49" fillId="34" borderId="170" xfId="0" applyFont="1" applyFill="1" applyBorder="1" applyAlignment="1">
      <alignment horizontal="center" vertical="center" textRotation="90" wrapText="1"/>
    </xf>
    <xf numFmtId="0" fontId="53" fillId="4" borderId="8" xfId="0" applyFont="1" applyFill="1" applyBorder="1" applyAlignment="1">
      <alignment horizontal="center" vertical="center"/>
    </xf>
    <xf numFmtId="0" fontId="53" fillId="4" borderId="11" xfId="0" applyFont="1" applyFill="1" applyBorder="1" applyAlignment="1">
      <alignment horizontal="center" vertical="center"/>
    </xf>
    <xf numFmtId="0" fontId="53" fillId="4" borderId="12" xfId="0" applyFont="1" applyFill="1" applyBorder="1" applyAlignment="1">
      <alignment horizontal="center" vertical="center"/>
    </xf>
    <xf numFmtId="0" fontId="53" fillId="40" borderId="8" xfId="0" applyFont="1" applyFill="1" applyBorder="1" applyAlignment="1">
      <alignment horizontal="left" vertical="center" wrapText="1"/>
    </xf>
    <xf numFmtId="0" fontId="53" fillId="40" borderId="11" xfId="0" applyFont="1" applyFill="1" applyBorder="1" applyAlignment="1">
      <alignment horizontal="left" vertical="center" wrapText="1"/>
    </xf>
    <xf numFmtId="0" fontId="53" fillId="40" borderId="12" xfId="0" applyFont="1" applyFill="1" applyBorder="1" applyAlignment="1">
      <alignment horizontal="left" vertical="center" wrapText="1"/>
    </xf>
    <xf numFmtId="0" fontId="52" fillId="48" borderId="8" xfId="0" applyFont="1" applyFill="1" applyBorder="1" applyAlignment="1">
      <alignment horizontal="center" vertical="center"/>
    </xf>
    <xf numFmtId="0" fontId="52" fillId="48" borderId="11" xfId="0" applyFont="1" applyFill="1" applyBorder="1" applyAlignment="1">
      <alignment horizontal="center" vertical="center"/>
    </xf>
    <xf numFmtId="0" fontId="52" fillId="48" borderId="12" xfId="0" applyFont="1" applyFill="1" applyBorder="1" applyAlignment="1">
      <alignment horizontal="center" vertical="center"/>
    </xf>
    <xf numFmtId="0" fontId="53" fillId="39" borderId="5" xfId="0" applyFont="1" applyFill="1" applyBorder="1" applyAlignment="1">
      <alignment horizontal="left" vertical="center"/>
    </xf>
    <xf numFmtId="0" fontId="53" fillId="39" borderId="6" xfId="0" applyFont="1" applyFill="1" applyBorder="1" applyAlignment="1">
      <alignment horizontal="left" vertical="center"/>
    </xf>
    <xf numFmtId="0" fontId="53" fillId="39" borderId="0" xfId="0" applyFont="1" applyFill="1" applyAlignment="1">
      <alignment horizontal="left" vertical="center"/>
    </xf>
    <xf numFmtId="0" fontId="53" fillId="39" borderId="7" xfId="0" applyFont="1" applyFill="1" applyBorder="1" applyAlignment="1">
      <alignment horizontal="left" vertical="center"/>
    </xf>
    <xf numFmtId="0" fontId="53" fillId="39" borderId="127" xfId="0" applyFont="1" applyFill="1" applyBorder="1" applyAlignment="1">
      <alignment horizontal="left" vertical="center"/>
    </xf>
    <xf numFmtId="0" fontId="53" fillId="39" borderId="128" xfId="0" applyFont="1" applyFill="1" applyBorder="1" applyAlignment="1">
      <alignment horizontal="left" vertical="center"/>
    </xf>
    <xf numFmtId="0" fontId="85" fillId="35" borderId="0" xfId="0" applyFont="1" applyFill="1" applyAlignment="1">
      <alignment horizontal="left" vertical="center" wrapText="1"/>
    </xf>
    <xf numFmtId="0" fontId="85" fillId="35" borderId="0" xfId="0" applyFont="1" applyFill="1" applyAlignment="1">
      <alignment horizontal="left" vertical="center"/>
    </xf>
    <xf numFmtId="0" fontId="85" fillId="35" borderId="5" xfId="0" applyFont="1" applyFill="1" applyBorder="1" applyAlignment="1">
      <alignment horizontal="left" vertical="center"/>
    </xf>
    <xf numFmtId="0" fontId="85" fillId="35" borderId="139" xfId="0" applyFont="1" applyFill="1" applyBorder="1" applyAlignment="1">
      <alignment horizontal="left" vertical="center"/>
    </xf>
    <xf numFmtId="0" fontId="54" fillId="35" borderId="176" xfId="0" applyFont="1" applyFill="1" applyBorder="1" applyAlignment="1">
      <alignment horizontal="left" vertical="center"/>
    </xf>
    <xf numFmtId="0" fontId="54" fillId="35" borderId="0" xfId="0" applyFont="1" applyFill="1" applyAlignment="1">
      <alignment horizontal="left" vertical="center"/>
    </xf>
    <xf numFmtId="0" fontId="54" fillId="35" borderId="176" xfId="0" applyFont="1" applyFill="1" applyBorder="1" applyAlignment="1">
      <alignment horizontal="left" vertical="center" wrapText="1"/>
    </xf>
    <xf numFmtId="0" fontId="54" fillId="35" borderId="127" xfId="0" applyFont="1" applyFill="1" applyBorder="1" applyAlignment="1">
      <alignment horizontal="left" vertical="center"/>
    </xf>
    <xf numFmtId="0" fontId="46" fillId="2" borderId="6" xfId="332" applyFont="1" applyFill="1" applyBorder="1" applyAlignment="1">
      <alignment horizontal="left" vertical="center"/>
    </xf>
    <xf numFmtId="0" fontId="46" fillId="2" borderId="128" xfId="332" applyFont="1" applyFill="1" applyBorder="1" applyAlignment="1">
      <alignment horizontal="left" vertical="center"/>
    </xf>
    <xf numFmtId="0" fontId="46" fillId="39" borderId="24" xfId="8" applyFont="1" applyFill="1" applyBorder="1" applyAlignment="1">
      <alignment horizontal="center" vertical="center"/>
    </xf>
    <xf numFmtId="0" fontId="46" fillId="39" borderId="33" xfId="8" applyFont="1" applyFill="1" applyBorder="1" applyAlignment="1">
      <alignment horizontal="center" vertical="center"/>
    </xf>
    <xf numFmtId="0" fontId="88" fillId="50" borderId="0" xfId="332" applyFont="1" applyFill="1" applyAlignment="1">
      <alignment horizontal="left" wrapText="1"/>
    </xf>
  </cellXfs>
  <cellStyles count="342">
    <cellStyle name="20 % – Zvýraznění1 2" xfId="40" xr:uid="{00000000-0005-0000-0000-000000000000}"/>
    <cellStyle name="20 % – Zvýraznění1 2 2" xfId="41" xr:uid="{00000000-0005-0000-0000-000001000000}"/>
    <cellStyle name="20 % – Zvýraznění1 2 3" xfId="42" xr:uid="{00000000-0005-0000-0000-000002000000}"/>
    <cellStyle name="20 % – Zvýraznění1 2 4" xfId="43" xr:uid="{00000000-0005-0000-0000-000003000000}"/>
    <cellStyle name="20 % – Zvýraznění1 2 5" xfId="44" xr:uid="{00000000-0005-0000-0000-000004000000}"/>
    <cellStyle name="20 % – Zvýraznění1 2 6" xfId="45" xr:uid="{00000000-0005-0000-0000-000005000000}"/>
    <cellStyle name="20 % – Zvýraznění2 2" xfId="46" xr:uid="{00000000-0005-0000-0000-000006000000}"/>
    <cellStyle name="20 % – Zvýraznění2 2 2" xfId="47" xr:uid="{00000000-0005-0000-0000-000007000000}"/>
    <cellStyle name="20 % – Zvýraznění2 2 3" xfId="48" xr:uid="{00000000-0005-0000-0000-000008000000}"/>
    <cellStyle name="20 % – Zvýraznění2 2 4" xfId="49" xr:uid="{00000000-0005-0000-0000-000009000000}"/>
    <cellStyle name="20 % – Zvýraznění2 2 5" xfId="50" xr:uid="{00000000-0005-0000-0000-00000A000000}"/>
    <cellStyle name="20 % – Zvýraznění2 2 6" xfId="51" xr:uid="{00000000-0005-0000-0000-00000B000000}"/>
    <cellStyle name="20 % – Zvýraznění3 2" xfId="52" xr:uid="{00000000-0005-0000-0000-00000C000000}"/>
    <cellStyle name="20 % – Zvýraznění3 2 2" xfId="53" xr:uid="{00000000-0005-0000-0000-00000D000000}"/>
    <cellStyle name="20 % – Zvýraznění3 2 3" xfId="54" xr:uid="{00000000-0005-0000-0000-00000E000000}"/>
    <cellStyle name="20 % – Zvýraznění3 2 4" xfId="55" xr:uid="{00000000-0005-0000-0000-00000F000000}"/>
    <cellStyle name="20 % – Zvýraznění3 2 5" xfId="56" xr:uid="{00000000-0005-0000-0000-000010000000}"/>
    <cellStyle name="20 % – Zvýraznění3 2 6" xfId="57" xr:uid="{00000000-0005-0000-0000-000011000000}"/>
    <cellStyle name="20 % – Zvýraznění4 2" xfId="58" xr:uid="{00000000-0005-0000-0000-000012000000}"/>
    <cellStyle name="20 % – Zvýraznění4 2 2" xfId="59" xr:uid="{00000000-0005-0000-0000-000013000000}"/>
    <cellStyle name="20 % – Zvýraznění4 2 3" xfId="60" xr:uid="{00000000-0005-0000-0000-000014000000}"/>
    <cellStyle name="20 % – Zvýraznění4 2 4" xfId="61" xr:uid="{00000000-0005-0000-0000-000015000000}"/>
    <cellStyle name="20 % – Zvýraznění4 2 5" xfId="62" xr:uid="{00000000-0005-0000-0000-000016000000}"/>
    <cellStyle name="20 % – Zvýraznění4 2 6" xfId="63" xr:uid="{00000000-0005-0000-0000-000017000000}"/>
    <cellStyle name="20 % – Zvýraznění5 2" xfId="64" xr:uid="{00000000-0005-0000-0000-000018000000}"/>
    <cellStyle name="20 % – Zvýraznění5 2 2" xfId="65" xr:uid="{00000000-0005-0000-0000-000019000000}"/>
    <cellStyle name="20 % – Zvýraznění5 2 3" xfId="66" xr:uid="{00000000-0005-0000-0000-00001A000000}"/>
    <cellStyle name="20 % – Zvýraznění5 2 4" xfId="67" xr:uid="{00000000-0005-0000-0000-00001B000000}"/>
    <cellStyle name="20 % – Zvýraznění5 2 5" xfId="68" xr:uid="{00000000-0005-0000-0000-00001C000000}"/>
    <cellStyle name="20 % – Zvýraznění5 2 6" xfId="69" xr:uid="{00000000-0005-0000-0000-00001D000000}"/>
    <cellStyle name="20 % – Zvýraznění6 2" xfId="70" xr:uid="{00000000-0005-0000-0000-00001E000000}"/>
    <cellStyle name="20 % – Zvýraznění6 2 2" xfId="71" xr:uid="{00000000-0005-0000-0000-00001F000000}"/>
    <cellStyle name="20 % – Zvýraznění6 2 3" xfId="72" xr:uid="{00000000-0005-0000-0000-000020000000}"/>
    <cellStyle name="20 % – Zvýraznění6 2 4" xfId="73" xr:uid="{00000000-0005-0000-0000-000021000000}"/>
    <cellStyle name="20 % – Zvýraznění6 2 5" xfId="74" xr:uid="{00000000-0005-0000-0000-000022000000}"/>
    <cellStyle name="20 % – Zvýraznění6 2 6" xfId="75" xr:uid="{00000000-0005-0000-0000-000023000000}"/>
    <cellStyle name="40 % – Zvýraznění1 2" xfId="76" xr:uid="{00000000-0005-0000-0000-000024000000}"/>
    <cellStyle name="40 % – Zvýraznění1 2 2" xfId="77" xr:uid="{00000000-0005-0000-0000-000025000000}"/>
    <cellStyle name="40 % – Zvýraznění1 2 3" xfId="78" xr:uid="{00000000-0005-0000-0000-000026000000}"/>
    <cellStyle name="40 % – Zvýraznění1 2 4" xfId="79" xr:uid="{00000000-0005-0000-0000-000027000000}"/>
    <cellStyle name="40 % – Zvýraznění1 2 5" xfId="80" xr:uid="{00000000-0005-0000-0000-000028000000}"/>
    <cellStyle name="40 % – Zvýraznění1 2 6" xfId="81" xr:uid="{00000000-0005-0000-0000-000029000000}"/>
    <cellStyle name="40 % – Zvýraznění2 2" xfId="82" xr:uid="{00000000-0005-0000-0000-00002A000000}"/>
    <cellStyle name="40 % – Zvýraznění2 2 2" xfId="83" xr:uid="{00000000-0005-0000-0000-00002B000000}"/>
    <cellStyle name="40 % – Zvýraznění2 2 3" xfId="84" xr:uid="{00000000-0005-0000-0000-00002C000000}"/>
    <cellStyle name="40 % – Zvýraznění2 2 4" xfId="85" xr:uid="{00000000-0005-0000-0000-00002D000000}"/>
    <cellStyle name="40 % – Zvýraznění2 2 5" xfId="86" xr:uid="{00000000-0005-0000-0000-00002E000000}"/>
    <cellStyle name="40 % – Zvýraznění2 2 6" xfId="87" xr:uid="{00000000-0005-0000-0000-00002F000000}"/>
    <cellStyle name="40 % – Zvýraznění3 2" xfId="88" xr:uid="{00000000-0005-0000-0000-000030000000}"/>
    <cellStyle name="40 % – Zvýraznění3 2 2" xfId="89" xr:uid="{00000000-0005-0000-0000-000031000000}"/>
    <cellStyle name="40 % – Zvýraznění3 2 3" xfId="90" xr:uid="{00000000-0005-0000-0000-000032000000}"/>
    <cellStyle name="40 % – Zvýraznění3 2 4" xfId="91" xr:uid="{00000000-0005-0000-0000-000033000000}"/>
    <cellStyle name="40 % – Zvýraznění3 2 5" xfId="92" xr:uid="{00000000-0005-0000-0000-000034000000}"/>
    <cellStyle name="40 % – Zvýraznění3 2 6" xfId="93" xr:uid="{00000000-0005-0000-0000-000035000000}"/>
    <cellStyle name="40 % – Zvýraznění4 2" xfId="94" xr:uid="{00000000-0005-0000-0000-000036000000}"/>
    <cellStyle name="40 % – Zvýraznění4 2 2" xfId="95" xr:uid="{00000000-0005-0000-0000-000037000000}"/>
    <cellStyle name="40 % – Zvýraznění4 2 3" xfId="96" xr:uid="{00000000-0005-0000-0000-000038000000}"/>
    <cellStyle name="40 % – Zvýraznění4 2 4" xfId="97" xr:uid="{00000000-0005-0000-0000-000039000000}"/>
    <cellStyle name="40 % – Zvýraznění4 2 5" xfId="98" xr:uid="{00000000-0005-0000-0000-00003A000000}"/>
    <cellStyle name="40 % – Zvýraznění4 2 6" xfId="99" xr:uid="{00000000-0005-0000-0000-00003B000000}"/>
    <cellStyle name="40 % – Zvýraznění5 2" xfId="100" xr:uid="{00000000-0005-0000-0000-00003C000000}"/>
    <cellStyle name="40 % – Zvýraznění5 2 2" xfId="101" xr:uid="{00000000-0005-0000-0000-00003D000000}"/>
    <cellStyle name="40 % – Zvýraznění5 2 3" xfId="102" xr:uid="{00000000-0005-0000-0000-00003E000000}"/>
    <cellStyle name="40 % – Zvýraznění5 2 4" xfId="103" xr:uid="{00000000-0005-0000-0000-00003F000000}"/>
    <cellStyle name="40 % – Zvýraznění5 2 5" xfId="104" xr:uid="{00000000-0005-0000-0000-000040000000}"/>
    <cellStyle name="40 % – Zvýraznění5 2 6" xfId="105" xr:uid="{00000000-0005-0000-0000-000041000000}"/>
    <cellStyle name="40 % – Zvýraznění6 2" xfId="106" xr:uid="{00000000-0005-0000-0000-000042000000}"/>
    <cellStyle name="40 % – Zvýraznění6 2 2" xfId="107" xr:uid="{00000000-0005-0000-0000-000043000000}"/>
    <cellStyle name="40 % – Zvýraznění6 2 3" xfId="108" xr:uid="{00000000-0005-0000-0000-000044000000}"/>
    <cellStyle name="40 % – Zvýraznění6 2 4" xfId="109" xr:uid="{00000000-0005-0000-0000-000045000000}"/>
    <cellStyle name="40 % – Zvýraznění6 2 5" xfId="110" xr:uid="{00000000-0005-0000-0000-000046000000}"/>
    <cellStyle name="40 % – Zvýraznění6 2 6" xfId="111" xr:uid="{00000000-0005-0000-0000-000047000000}"/>
    <cellStyle name="60 % – Zvýraznění1 2" xfId="112" xr:uid="{00000000-0005-0000-0000-000048000000}"/>
    <cellStyle name="60 % – Zvýraznění1 2 2" xfId="113" xr:uid="{00000000-0005-0000-0000-000049000000}"/>
    <cellStyle name="60 % – Zvýraznění1 2 3" xfId="114" xr:uid="{00000000-0005-0000-0000-00004A000000}"/>
    <cellStyle name="60 % – Zvýraznění1 2 4" xfId="115" xr:uid="{00000000-0005-0000-0000-00004B000000}"/>
    <cellStyle name="60 % – Zvýraznění1 2 5" xfId="116" xr:uid="{00000000-0005-0000-0000-00004C000000}"/>
    <cellStyle name="60 % – Zvýraznění1 2 6" xfId="117" xr:uid="{00000000-0005-0000-0000-00004D000000}"/>
    <cellStyle name="60 % – Zvýraznění2 2" xfId="118" xr:uid="{00000000-0005-0000-0000-00004E000000}"/>
    <cellStyle name="60 % – Zvýraznění2 2 2" xfId="119" xr:uid="{00000000-0005-0000-0000-00004F000000}"/>
    <cellStyle name="60 % – Zvýraznění2 2 3" xfId="120" xr:uid="{00000000-0005-0000-0000-000050000000}"/>
    <cellStyle name="60 % – Zvýraznění2 2 4" xfId="121" xr:uid="{00000000-0005-0000-0000-000051000000}"/>
    <cellStyle name="60 % – Zvýraznění2 2 5" xfId="122" xr:uid="{00000000-0005-0000-0000-000052000000}"/>
    <cellStyle name="60 % – Zvýraznění2 2 6" xfId="123" xr:uid="{00000000-0005-0000-0000-000053000000}"/>
    <cellStyle name="60 % – Zvýraznění3 2" xfId="124" xr:uid="{00000000-0005-0000-0000-000054000000}"/>
    <cellStyle name="60 % – Zvýraznění3 2 2" xfId="125" xr:uid="{00000000-0005-0000-0000-000055000000}"/>
    <cellStyle name="60 % – Zvýraznění3 2 3" xfId="126" xr:uid="{00000000-0005-0000-0000-000056000000}"/>
    <cellStyle name="60 % – Zvýraznění3 2 4" xfId="127" xr:uid="{00000000-0005-0000-0000-000057000000}"/>
    <cellStyle name="60 % – Zvýraznění3 2 5" xfId="128" xr:uid="{00000000-0005-0000-0000-000058000000}"/>
    <cellStyle name="60 % – Zvýraznění3 2 6" xfId="129" xr:uid="{00000000-0005-0000-0000-000059000000}"/>
    <cellStyle name="60 % – Zvýraznění4 2" xfId="130" xr:uid="{00000000-0005-0000-0000-00005A000000}"/>
    <cellStyle name="60 % – Zvýraznění4 2 2" xfId="131" xr:uid="{00000000-0005-0000-0000-00005B000000}"/>
    <cellStyle name="60 % – Zvýraznění4 2 3" xfId="132" xr:uid="{00000000-0005-0000-0000-00005C000000}"/>
    <cellStyle name="60 % – Zvýraznění4 2 4" xfId="133" xr:uid="{00000000-0005-0000-0000-00005D000000}"/>
    <cellStyle name="60 % – Zvýraznění4 2 5" xfId="134" xr:uid="{00000000-0005-0000-0000-00005E000000}"/>
    <cellStyle name="60 % – Zvýraznění4 2 6" xfId="135" xr:uid="{00000000-0005-0000-0000-00005F000000}"/>
    <cellStyle name="60 % – Zvýraznění5 2" xfId="136" xr:uid="{00000000-0005-0000-0000-000060000000}"/>
    <cellStyle name="60 % – Zvýraznění5 2 2" xfId="137" xr:uid="{00000000-0005-0000-0000-000061000000}"/>
    <cellStyle name="60 % – Zvýraznění5 2 3" xfId="138" xr:uid="{00000000-0005-0000-0000-000062000000}"/>
    <cellStyle name="60 % – Zvýraznění5 2 4" xfId="139" xr:uid="{00000000-0005-0000-0000-000063000000}"/>
    <cellStyle name="60 % – Zvýraznění5 2 5" xfId="140" xr:uid="{00000000-0005-0000-0000-000064000000}"/>
    <cellStyle name="60 % – Zvýraznění5 2 6" xfId="141" xr:uid="{00000000-0005-0000-0000-000065000000}"/>
    <cellStyle name="60 % – Zvýraznění6 2" xfId="142" xr:uid="{00000000-0005-0000-0000-000066000000}"/>
    <cellStyle name="60 % – Zvýraznění6 2 2" xfId="143" xr:uid="{00000000-0005-0000-0000-000067000000}"/>
    <cellStyle name="60 % – Zvýraznění6 2 3" xfId="144" xr:uid="{00000000-0005-0000-0000-000068000000}"/>
    <cellStyle name="60 % – Zvýraznění6 2 4" xfId="145" xr:uid="{00000000-0005-0000-0000-000069000000}"/>
    <cellStyle name="60 % – Zvýraznění6 2 5" xfId="146" xr:uid="{00000000-0005-0000-0000-00006A000000}"/>
    <cellStyle name="60 % – Zvýraznění6 2 6" xfId="147" xr:uid="{00000000-0005-0000-0000-00006B000000}"/>
    <cellStyle name="BorderStyle" xfId="148" xr:uid="{00000000-0005-0000-0000-00006C000000}"/>
    <cellStyle name="Cele, oddel tisice" xfId="1" xr:uid="{00000000-0005-0000-0000-00006D000000}"/>
    <cellStyle name="Celkem 2" xfId="149" xr:uid="{00000000-0005-0000-0000-00006E000000}"/>
    <cellStyle name="Celkem 2 2" xfId="150" xr:uid="{00000000-0005-0000-0000-00006F000000}"/>
    <cellStyle name="Celkem 2 3" xfId="151" xr:uid="{00000000-0005-0000-0000-000070000000}"/>
    <cellStyle name="Celkem 2 4" xfId="152" xr:uid="{00000000-0005-0000-0000-000071000000}"/>
    <cellStyle name="Celkem 2 5" xfId="153" xr:uid="{00000000-0005-0000-0000-000072000000}"/>
    <cellStyle name="Celkem 2 6" xfId="154" xr:uid="{00000000-0005-0000-0000-000073000000}"/>
    <cellStyle name="Čárka 2" xfId="2" xr:uid="{00000000-0005-0000-0000-000075000000}"/>
    <cellStyle name="Čárka 3" xfId="3" xr:uid="{00000000-0005-0000-0000-000076000000}"/>
    <cellStyle name="čárky [0]_banka" xfId="155" xr:uid="{00000000-0005-0000-0000-000077000000}"/>
    <cellStyle name="čárky 10" xfId="156" xr:uid="{00000000-0005-0000-0000-000078000000}"/>
    <cellStyle name="čárky 11" xfId="157" xr:uid="{00000000-0005-0000-0000-000079000000}"/>
    <cellStyle name="čárky 12" xfId="158" xr:uid="{00000000-0005-0000-0000-00007A000000}"/>
    <cellStyle name="čárky 13" xfId="159" xr:uid="{00000000-0005-0000-0000-00007B000000}"/>
    <cellStyle name="čárky 14" xfId="160" xr:uid="{00000000-0005-0000-0000-00007C000000}"/>
    <cellStyle name="čárky 15" xfId="161" xr:uid="{00000000-0005-0000-0000-00007D000000}"/>
    <cellStyle name="čárky 2" xfId="4" xr:uid="{00000000-0005-0000-0000-00007E000000}"/>
    <cellStyle name="čárky 2 2" xfId="5" xr:uid="{00000000-0005-0000-0000-00007F000000}"/>
    <cellStyle name="čárky 2 3" xfId="162" xr:uid="{00000000-0005-0000-0000-000080000000}"/>
    <cellStyle name="čárky 3" xfId="6" xr:uid="{00000000-0005-0000-0000-000081000000}"/>
    <cellStyle name="čárky 3 2" xfId="7" xr:uid="{00000000-0005-0000-0000-000082000000}"/>
    <cellStyle name="čárky 3 3" xfId="163" xr:uid="{00000000-0005-0000-0000-000083000000}"/>
    <cellStyle name="čárky 3 4" xfId="164" xr:uid="{00000000-0005-0000-0000-000084000000}"/>
    <cellStyle name="čárky 4" xfId="165" xr:uid="{00000000-0005-0000-0000-000085000000}"/>
    <cellStyle name="čárky 4 2" xfId="166" xr:uid="{00000000-0005-0000-0000-000086000000}"/>
    <cellStyle name="čárky 5" xfId="167" xr:uid="{00000000-0005-0000-0000-000087000000}"/>
    <cellStyle name="čárky 6" xfId="168" xr:uid="{00000000-0005-0000-0000-000088000000}"/>
    <cellStyle name="čárky 7" xfId="169" xr:uid="{00000000-0005-0000-0000-000089000000}"/>
    <cellStyle name="čárky 8" xfId="170" xr:uid="{00000000-0005-0000-0000-00008A000000}"/>
    <cellStyle name="čárky 9" xfId="171" xr:uid="{00000000-0005-0000-0000-00008B000000}"/>
    <cellStyle name="Hypertextový odkaz" xfId="341" builtinId="8"/>
    <cellStyle name="Chybně 2" xfId="172" xr:uid="{00000000-0005-0000-0000-00008C000000}"/>
    <cellStyle name="Chybně 2 2" xfId="173" xr:uid="{00000000-0005-0000-0000-00008D000000}"/>
    <cellStyle name="Chybně 2 3" xfId="174" xr:uid="{00000000-0005-0000-0000-00008E000000}"/>
    <cellStyle name="Chybně 2 4" xfId="175" xr:uid="{00000000-0005-0000-0000-00008F000000}"/>
    <cellStyle name="Chybně 2 5" xfId="176" xr:uid="{00000000-0005-0000-0000-000090000000}"/>
    <cellStyle name="Chybně 2 6" xfId="177" xr:uid="{00000000-0005-0000-0000-000091000000}"/>
    <cellStyle name="Kontrolní buňka 2" xfId="178" xr:uid="{00000000-0005-0000-0000-000092000000}"/>
    <cellStyle name="Kontrolní buňka 2 2" xfId="179" xr:uid="{00000000-0005-0000-0000-000093000000}"/>
    <cellStyle name="Kontrolní buňka 2 3" xfId="180" xr:uid="{00000000-0005-0000-0000-000094000000}"/>
    <cellStyle name="Kontrolní buňka 2 4" xfId="181" xr:uid="{00000000-0005-0000-0000-000095000000}"/>
    <cellStyle name="Kontrolní buňka 2 5" xfId="182" xr:uid="{00000000-0005-0000-0000-000096000000}"/>
    <cellStyle name="Kontrolní buňka 2 6" xfId="183" xr:uid="{00000000-0005-0000-0000-000097000000}"/>
    <cellStyle name="Měna 2" xfId="338" xr:uid="{00000000-0005-0000-0000-000098000000}"/>
    <cellStyle name="Nadpis 1 2" xfId="184" xr:uid="{00000000-0005-0000-0000-000099000000}"/>
    <cellStyle name="Nadpis 1 2 2" xfId="185" xr:uid="{00000000-0005-0000-0000-00009A000000}"/>
    <cellStyle name="Nadpis 1 2 3" xfId="186" xr:uid="{00000000-0005-0000-0000-00009B000000}"/>
    <cellStyle name="Nadpis 1 2 4" xfId="187" xr:uid="{00000000-0005-0000-0000-00009C000000}"/>
    <cellStyle name="Nadpis 1 2 5" xfId="188" xr:uid="{00000000-0005-0000-0000-00009D000000}"/>
    <cellStyle name="Nadpis 1 2 6" xfId="189" xr:uid="{00000000-0005-0000-0000-00009E000000}"/>
    <cellStyle name="Nadpis 1 3" xfId="337" xr:uid="{00000000-0005-0000-0000-00009F000000}"/>
    <cellStyle name="Nadpis 2 2" xfId="190" xr:uid="{00000000-0005-0000-0000-0000A0000000}"/>
    <cellStyle name="Nadpis 2 2 2" xfId="191" xr:uid="{00000000-0005-0000-0000-0000A1000000}"/>
    <cellStyle name="Nadpis 2 2 3" xfId="192" xr:uid="{00000000-0005-0000-0000-0000A2000000}"/>
    <cellStyle name="Nadpis 2 2 4" xfId="193" xr:uid="{00000000-0005-0000-0000-0000A3000000}"/>
    <cellStyle name="Nadpis 2 2 5" xfId="194" xr:uid="{00000000-0005-0000-0000-0000A4000000}"/>
    <cellStyle name="Nadpis 2 2 6" xfId="195" xr:uid="{00000000-0005-0000-0000-0000A5000000}"/>
    <cellStyle name="Nadpis 3 2" xfId="196" xr:uid="{00000000-0005-0000-0000-0000A6000000}"/>
    <cellStyle name="Nadpis 3 2 2" xfId="197" xr:uid="{00000000-0005-0000-0000-0000A7000000}"/>
    <cellStyle name="Nadpis 3 2 3" xfId="198" xr:uid="{00000000-0005-0000-0000-0000A8000000}"/>
    <cellStyle name="Nadpis 3 2 4" xfId="199" xr:uid="{00000000-0005-0000-0000-0000A9000000}"/>
    <cellStyle name="Nadpis 3 2 5" xfId="200" xr:uid="{00000000-0005-0000-0000-0000AA000000}"/>
    <cellStyle name="Nadpis 3 2 6" xfId="201" xr:uid="{00000000-0005-0000-0000-0000AB000000}"/>
    <cellStyle name="Nadpis 4 2" xfId="202" xr:uid="{00000000-0005-0000-0000-0000AC000000}"/>
    <cellStyle name="Nadpis 4 2 2" xfId="203" xr:uid="{00000000-0005-0000-0000-0000AD000000}"/>
    <cellStyle name="Nadpis 4 2 3" xfId="204" xr:uid="{00000000-0005-0000-0000-0000AE000000}"/>
    <cellStyle name="Nadpis 4 2 4" xfId="205" xr:uid="{00000000-0005-0000-0000-0000AF000000}"/>
    <cellStyle name="Nadpis 4 2 5" xfId="206" xr:uid="{00000000-0005-0000-0000-0000B0000000}"/>
    <cellStyle name="Nadpis 4 2 6" xfId="207" xr:uid="{00000000-0005-0000-0000-0000B1000000}"/>
    <cellStyle name="Název 2" xfId="208" xr:uid="{00000000-0005-0000-0000-0000B2000000}"/>
    <cellStyle name="Název 2 2" xfId="209" xr:uid="{00000000-0005-0000-0000-0000B3000000}"/>
    <cellStyle name="Název 2 3" xfId="210" xr:uid="{00000000-0005-0000-0000-0000B4000000}"/>
    <cellStyle name="Název 2 4" xfId="211" xr:uid="{00000000-0005-0000-0000-0000B5000000}"/>
    <cellStyle name="Název 2 5" xfId="212" xr:uid="{00000000-0005-0000-0000-0000B6000000}"/>
    <cellStyle name="Název 2 6" xfId="213" xr:uid="{00000000-0005-0000-0000-0000B7000000}"/>
    <cellStyle name="Název 3" xfId="336" xr:uid="{00000000-0005-0000-0000-0000B8000000}"/>
    <cellStyle name="Neutrální 2" xfId="214" xr:uid="{00000000-0005-0000-0000-0000B9000000}"/>
    <cellStyle name="Neutrální 2 2" xfId="215" xr:uid="{00000000-0005-0000-0000-0000BA000000}"/>
    <cellStyle name="Neutrální 2 3" xfId="216" xr:uid="{00000000-0005-0000-0000-0000BB000000}"/>
    <cellStyle name="Neutrální 2 4" xfId="217" xr:uid="{00000000-0005-0000-0000-0000BC000000}"/>
    <cellStyle name="Neutrální 2 5" xfId="218" xr:uid="{00000000-0005-0000-0000-0000BD000000}"/>
    <cellStyle name="Neutrální 2 6" xfId="219" xr:uid="{00000000-0005-0000-0000-0000BE000000}"/>
    <cellStyle name="Normal_Aktivita 1 vodovod Kotesova 2004-05-25" xfId="8" xr:uid="{00000000-0005-0000-0000-0000BF000000}"/>
    <cellStyle name="Normální" xfId="0" builtinId="0"/>
    <cellStyle name="Normální 10" xfId="9" xr:uid="{00000000-0005-0000-0000-0000C1000000}"/>
    <cellStyle name="Normální 10 2" xfId="332" xr:uid="{00000000-0005-0000-0000-0000C2000000}"/>
    <cellStyle name="Normální 10 3" xfId="340" xr:uid="{00000000-0005-0000-0000-0000C3000000}"/>
    <cellStyle name="Normální 11" xfId="10" xr:uid="{00000000-0005-0000-0000-0000C4000000}"/>
    <cellStyle name="Normální 12" xfId="11" xr:uid="{00000000-0005-0000-0000-0000C5000000}"/>
    <cellStyle name="Normální 12 2" xfId="334" xr:uid="{00000000-0005-0000-0000-0000C6000000}"/>
    <cellStyle name="Normální 13" xfId="220" xr:uid="{00000000-0005-0000-0000-0000C7000000}"/>
    <cellStyle name="Normální 14" xfId="221" xr:uid="{00000000-0005-0000-0000-0000C8000000}"/>
    <cellStyle name="Normální 15" xfId="335" xr:uid="{00000000-0005-0000-0000-0000C9000000}"/>
    <cellStyle name="normální 17" xfId="222" xr:uid="{00000000-0005-0000-0000-0000CA000000}"/>
    <cellStyle name="normální 17 2" xfId="223" xr:uid="{00000000-0005-0000-0000-0000CB000000}"/>
    <cellStyle name="normální 17 3" xfId="224" xr:uid="{00000000-0005-0000-0000-0000CC000000}"/>
    <cellStyle name="Normální 18" xfId="39" xr:uid="{00000000-0005-0000-0000-0000CD000000}"/>
    <cellStyle name="Normální 2" xfId="12" xr:uid="{00000000-0005-0000-0000-0000CE000000}"/>
    <cellStyle name="normální 2 2" xfId="13" xr:uid="{00000000-0005-0000-0000-0000CF000000}"/>
    <cellStyle name="normální 2 2 2" xfId="14" xr:uid="{00000000-0005-0000-0000-0000D0000000}"/>
    <cellStyle name="normální 2 26" xfId="225" xr:uid="{00000000-0005-0000-0000-0000D1000000}"/>
    <cellStyle name="normální 2 26 2" xfId="226" xr:uid="{00000000-0005-0000-0000-0000D2000000}"/>
    <cellStyle name="normální 2 3" xfId="15" xr:uid="{00000000-0005-0000-0000-0000D3000000}"/>
    <cellStyle name="Normální 2 4" xfId="16" xr:uid="{00000000-0005-0000-0000-0000D4000000}"/>
    <cellStyle name="Normální 2 5" xfId="17" xr:uid="{00000000-0005-0000-0000-0000D5000000}"/>
    <cellStyle name="Normální 2 6" xfId="18" xr:uid="{00000000-0005-0000-0000-0000D6000000}"/>
    <cellStyle name="normální 2_OD-vykony_Zausteni_IV_TZK" xfId="227" xr:uid="{00000000-0005-0000-0000-0000D7000000}"/>
    <cellStyle name="normální 22" xfId="19" xr:uid="{00000000-0005-0000-0000-0000D8000000}"/>
    <cellStyle name="normální 3" xfId="20" xr:uid="{00000000-0005-0000-0000-0000D9000000}"/>
    <cellStyle name="normální 3 2" xfId="21" xr:uid="{00000000-0005-0000-0000-0000DA000000}"/>
    <cellStyle name="normální 3 2 2" xfId="228" xr:uid="{00000000-0005-0000-0000-0000DB000000}"/>
    <cellStyle name="normální 3 3" xfId="229" xr:uid="{00000000-0005-0000-0000-0000DC000000}"/>
    <cellStyle name="normální 3 3 2" xfId="230" xr:uid="{00000000-0005-0000-0000-0000DD000000}"/>
    <cellStyle name="normální 3 3 3" xfId="231" xr:uid="{00000000-0005-0000-0000-0000DE000000}"/>
    <cellStyle name="normální 3 4" xfId="232" xr:uid="{00000000-0005-0000-0000-0000DF000000}"/>
    <cellStyle name="normální 3_Priloha_01_prac" xfId="22" xr:uid="{00000000-0005-0000-0000-0000E0000000}"/>
    <cellStyle name="normální 4" xfId="23" xr:uid="{00000000-0005-0000-0000-0000E1000000}"/>
    <cellStyle name="normální 4 2" xfId="24" xr:uid="{00000000-0005-0000-0000-0000E2000000}"/>
    <cellStyle name="Normální 4 3" xfId="25" xr:uid="{00000000-0005-0000-0000-0000E3000000}"/>
    <cellStyle name="normální 5" xfId="26" xr:uid="{00000000-0005-0000-0000-0000E4000000}"/>
    <cellStyle name="Normální 5 2" xfId="233" xr:uid="{00000000-0005-0000-0000-0000E5000000}"/>
    <cellStyle name="normální 6" xfId="27" xr:uid="{00000000-0005-0000-0000-0000E6000000}"/>
    <cellStyle name="Normální 6 2" xfId="234" xr:uid="{00000000-0005-0000-0000-0000E7000000}"/>
    <cellStyle name="normální 7" xfId="28" xr:uid="{00000000-0005-0000-0000-0000E8000000}"/>
    <cellStyle name="Normální 7 2" xfId="235" xr:uid="{00000000-0005-0000-0000-0000E9000000}"/>
    <cellStyle name="normální 7 3" xfId="236" xr:uid="{00000000-0005-0000-0000-0000EA000000}"/>
    <cellStyle name="Normální 7 4" xfId="331" xr:uid="{00000000-0005-0000-0000-0000EB000000}"/>
    <cellStyle name="normální 8" xfId="29" xr:uid="{00000000-0005-0000-0000-0000EC000000}"/>
    <cellStyle name="Normální 8 2" xfId="237" xr:uid="{00000000-0005-0000-0000-0000ED000000}"/>
    <cellStyle name="Normální 9" xfId="30" xr:uid="{00000000-0005-0000-0000-0000EE000000}"/>
    <cellStyle name="normální_!výpočty_-_HosPa_final_11_05_09" xfId="31" xr:uid="{00000000-0005-0000-0000-0000EF000000}"/>
    <cellStyle name="Poznámka 2" xfId="238" xr:uid="{00000000-0005-0000-0000-0000F0000000}"/>
    <cellStyle name="Poznámka 2 2" xfId="239" xr:uid="{00000000-0005-0000-0000-0000F1000000}"/>
    <cellStyle name="Poznámka 2 3" xfId="240" xr:uid="{00000000-0005-0000-0000-0000F2000000}"/>
    <cellStyle name="Poznámka 2 4" xfId="241" xr:uid="{00000000-0005-0000-0000-0000F3000000}"/>
    <cellStyle name="Poznámka 2 5" xfId="242" xr:uid="{00000000-0005-0000-0000-0000F4000000}"/>
    <cellStyle name="Poznámka 2 6" xfId="243" xr:uid="{00000000-0005-0000-0000-0000F5000000}"/>
    <cellStyle name="procent 2" xfId="32" xr:uid="{00000000-0005-0000-0000-0000F6000000}"/>
    <cellStyle name="procent 2 2" xfId="244" xr:uid="{00000000-0005-0000-0000-0000F7000000}"/>
    <cellStyle name="procent 2 3" xfId="245" xr:uid="{00000000-0005-0000-0000-0000F8000000}"/>
    <cellStyle name="procent 3" xfId="33" xr:uid="{00000000-0005-0000-0000-0000F9000000}"/>
    <cellStyle name="procent 3 2" xfId="34" xr:uid="{00000000-0005-0000-0000-0000FA000000}"/>
    <cellStyle name="procent 3 3" xfId="246" xr:uid="{00000000-0005-0000-0000-0000FB000000}"/>
    <cellStyle name="procent 3 4" xfId="247" xr:uid="{00000000-0005-0000-0000-0000FC000000}"/>
    <cellStyle name="procent 4" xfId="248" xr:uid="{00000000-0005-0000-0000-0000FD000000}"/>
    <cellStyle name="procent 4 2" xfId="249" xr:uid="{00000000-0005-0000-0000-0000FE000000}"/>
    <cellStyle name="procent 5" xfId="250" xr:uid="{00000000-0005-0000-0000-0000FF000000}"/>
    <cellStyle name="procent 6" xfId="251" xr:uid="{00000000-0005-0000-0000-000000010000}"/>
    <cellStyle name="Procenta" xfId="35" builtinId="5"/>
    <cellStyle name="Procenta 2" xfId="36" xr:uid="{00000000-0005-0000-0000-000002010000}"/>
    <cellStyle name="Procenta 2 2" xfId="333" xr:uid="{00000000-0005-0000-0000-000003010000}"/>
    <cellStyle name="Procenta 3" xfId="37" xr:uid="{00000000-0005-0000-0000-000004010000}"/>
    <cellStyle name="Procenta 4" xfId="252" xr:uid="{00000000-0005-0000-0000-000005010000}"/>
    <cellStyle name="Procenta 5" xfId="339" xr:uid="{00000000-0005-0000-0000-000006010000}"/>
    <cellStyle name="Propojená buňka 2" xfId="253" xr:uid="{00000000-0005-0000-0000-000007010000}"/>
    <cellStyle name="Propojená buňka 2 2" xfId="254" xr:uid="{00000000-0005-0000-0000-000008010000}"/>
    <cellStyle name="Propojená buňka 2 3" xfId="255" xr:uid="{00000000-0005-0000-0000-000009010000}"/>
    <cellStyle name="Propojená buňka 2 4" xfId="256" xr:uid="{00000000-0005-0000-0000-00000A010000}"/>
    <cellStyle name="Propojená buňka 2 5" xfId="257" xr:uid="{00000000-0005-0000-0000-00000B010000}"/>
    <cellStyle name="Propojená buňka 2 6" xfId="258" xr:uid="{00000000-0005-0000-0000-00000C010000}"/>
    <cellStyle name="Správně 2" xfId="259" xr:uid="{00000000-0005-0000-0000-00000D010000}"/>
    <cellStyle name="Správně 2 2" xfId="260" xr:uid="{00000000-0005-0000-0000-00000E010000}"/>
    <cellStyle name="Správně 2 3" xfId="261" xr:uid="{00000000-0005-0000-0000-00000F010000}"/>
    <cellStyle name="Správně 2 4" xfId="262" xr:uid="{00000000-0005-0000-0000-000010010000}"/>
    <cellStyle name="Správně 2 5" xfId="263" xr:uid="{00000000-0005-0000-0000-000011010000}"/>
    <cellStyle name="Správně 2 6" xfId="264" xr:uid="{00000000-0005-0000-0000-000012010000}"/>
    <cellStyle name="Text upozornění 2" xfId="265" xr:uid="{00000000-0005-0000-0000-000013010000}"/>
    <cellStyle name="Text upozornění 2 2" xfId="266" xr:uid="{00000000-0005-0000-0000-000014010000}"/>
    <cellStyle name="Text upozornění 2 3" xfId="267" xr:uid="{00000000-0005-0000-0000-000015010000}"/>
    <cellStyle name="Text upozornění 2 4" xfId="268" xr:uid="{00000000-0005-0000-0000-000016010000}"/>
    <cellStyle name="Text upozornění 2 5" xfId="269" xr:uid="{00000000-0005-0000-0000-000017010000}"/>
    <cellStyle name="Text upozornění 2 6" xfId="270" xr:uid="{00000000-0005-0000-0000-000018010000}"/>
    <cellStyle name="Vstup 2" xfId="271" xr:uid="{00000000-0005-0000-0000-000019010000}"/>
    <cellStyle name="Vstup 2 2" xfId="272" xr:uid="{00000000-0005-0000-0000-00001A010000}"/>
    <cellStyle name="Vstup 2 3" xfId="273" xr:uid="{00000000-0005-0000-0000-00001B010000}"/>
    <cellStyle name="Vstup 2 4" xfId="274" xr:uid="{00000000-0005-0000-0000-00001C010000}"/>
    <cellStyle name="Vstup 2 5" xfId="275" xr:uid="{00000000-0005-0000-0000-00001D010000}"/>
    <cellStyle name="Vstup 2 6" xfId="276" xr:uid="{00000000-0005-0000-0000-00001E010000}"/>
    <cellStyle name="Výpočet 2" xfId="277" xr:uid="{00000000-0005-0000-0000-00001F010000}"/>
    <cellStyle name="Výpočet 2 2" xfId="278" xr:uid="{00000000-0005-0000-0000-000020010000}"/>
    <cellStyle name="Výpočet 2 3" xfId="279" xr:uid="{00000000-0005-0000-0000-000021010000}"/>
    <cellStyle name="Výpočet 2 4" xfId="280" xr:uid="{00000000-0005-0000-0000-000022010000}"/>
    <cellStyle name="Výpočet 2 5" xfId="281" xr:uid="{00000000-0005-0000-0000-000023010000}"/>
    <cellStyle name="Výpočet 2 6" xfId="282" xr:uid="{00000000-0005-0000-0000-000024010000}"/>
    <cellStyle name="Výstup 2" xfId="283" xr:uid="{00000000-0005-0000-0000-000025010000}"/>
    <cellStyle name="Výstup 2 2" xfId="284" xr:uid="{00000000-0005-0000-0000-000026010000}"/>
    <cellStyle name="Výstup 2 3" xfId="285" xr:uid="{00000000-0005-0000-0000-000027010000}"/>
    <cellStyle name="Výstup 2 4" xfId="286" xr:uid="{00000000-0005-0000-0000-000028010000}"/>
    <cellStyle name="Výstup 2 5" xfId="287" xr:uid="{00000000-0005-0000-0000-000029010000}"/>
    <cellStyle name="Výstup 2 6" xfId="288" xr:uid="{00000000-0005-0000-0000-00002A010000}"/>
    <cellStyle name="Vysvětlující text 2" xfId="289" xr:uid="{00000000-0005-0000-0000-00002B010000}"/>
    <cellStyle name="Vysvětlující text 2 2" xfId="290" xr:uid="{00000000-0005-0000-0000-00002C010000}"/>
    <cellStyle name="Vysvětlující text 2 3" xfId="291" xr:uid="{00000000-0005-0000-0000-00002D010000}"/>
    <cellStyle name="Vysvětlující text 2 4" xfId="292" xr:uid="{00000000-0005-0000-0000-00002E010000}"/>
    <cellStyle name="Vysvětlující text 2 5" xfId="293" xr:uid="{00000000-0005-0000-0000-00002F010000}"/>
    <cellStyle name="Vysvětlující text 2 6" xfId="294" xr:uid="{00000000-0005-0000-0000-000030010000}"/>
    <cellStyle name="Zadano" xfId="38" xr:uid="{00000000-0005-0000-0000-000031010000}"/>
    <cellStyle name="Zvýraznění 1 2" xfId="295" xr:uid="{00000000-0005-0000-0000-000032010000}"/>
    <cellStyle name="Zvýraznění 1 2 2" xfId="296" xr:uid="{00000000-0005-0000-0000-000033010000}"/>
    <cellStyle name="Zvýraznění 1 2 3" xfId="297" xr:uid="{00000000-0005-0000-0000-000034010000}"/>
    <cellStyle name="Zvýraznění 1 2 4" xfId="298" xr:uid="{00000000-0005-0000-0000-000035010000}"/>
    <cellStyle name="Zvýraznění 1 2 5" xfId="299" xr:uid="{00000000-0005-0000-0000-000036010000}"/>
    <cellStyle name="Zvýraznění 1 2 6" xfId="300" xr:uid="{00000000-0005-0000-0000-000037010000}"/>
    <cellStyle name="Zvýraznění 2 2" xfId="301" xr:uid="{00000000-0005-0000-0000-000038010000}"/>
    <cellStyle name="Zvýraznění 2 2 2" xfId="302" xr:uid="{00000000-0005-0000-0000-000039010000}"/>
    <cellStyle name="Zvýraznění 2 2 3" xfId="303" xr:uid="{00000000-0005-0000-0000-00003A010000}"/>
    <cellStyle name="Zvýraznění 2 2 4" xfId="304" xr:uid="{00000000-0005-0000-0000-00003B010000}"/>
    <cellStyle name="Zvýraznění 2 2 5" xfId="305" xr:uid="{00000000-0005-0000-0000-00003C010000}"/>
    <cellStyle name="Zvýraznění 2 2 6" xfId="306" xr:uid="{00000000-0005-0000-0000-00003D010000}"/>
    <cellStyle name="Zvýraznění 3 2" xfId="307" xr:uid="{00000000-0005-0000-0000-00003E010000}"/>
    <cellStyle name="Zvýraznění 3 2 2" xfId="308" xr:uid="{00000000-0005-0000-0000-00003F010000}"/>
    <cellStyle name="Zvýraznění 3 2 3" xfId="309" xr:uid="{00000000-0005-0000-0000-000040010000}"/>
    <cellStyle name="Zvýraznění 3 2 4" xfId="310" xr:uid="{00000000-0005-0000-0000-000041010000}"/>
    <cellStyle name="Zvýraznění 3 2 5" xfId="311" xr:uid="{00000000-0005-0000-0000-000042010000}"/>
    <cellStyle name="Zvýraznění 3 2 6" xfId="312" xr:uid="{00000000-0005-0000-0000-000043010000}"/>
    <cellStyle name="Zvýraznění 4 2" xfId="313" xr:uid="{00000000-0005-0000-0000-000044010000}"/>
    <cellStyle name="Zvýraznění 4 2 2" xfId="314" xr:uid="{00000000-0005-0000-0000-000045010000}"/>
    <cellStyle name="Zvýraznění 4 2 3" xfId="315" xr:uid="{00000000-0005-0000-0000-000046010000}"/>
    <cellStyle name="Zvýraznění 4 2 4" xfId="316" xr:uid="{00000000-0005-0000-0000-000047010000}"/>
    <cellStyle name="Zvýraznění 4 2 5" xfId="317" xr:uid="{00000000-0005-0000-0000-000048010000}"/>
    <cellStyle name="Zvýraznění 4 2 6" xfId="318" xr:uid="{00000000-0005-0000-0000-000049010000}"/>
    <cellStyle name="Zvýraznění 5 2" xfId="319" xr:uid="{00000000-0005-0000-0000-00004A010000}"/>
    <cellStyle name="Zvýraznění 5 2 2" xfId="320" xr:uid="{00000000-0005-0000-0000-00004B010000}"/>
    <cellStyle name="Zvýraznění 5 2 3" xfId="321" xr:uid="{00000000-0005-0000-0000-00004C010000}"/>
    <cellStyle name="Zvýraznění 5 2 4" xfId="322" xr:uid="{00000000-0005-0000-0000-00004D010000}"/>
    <cellStyle name="Zvýraznění 5 2 5" xfId="323" xr:uid="{00000000-0005-0000-0000-00004E010000}"/>
    <cellStyle name="Zvýraznění 5 2 6" xfId="324" xr:uid="{00000000-0005-0000-0000-00004F010000}"/>
    <cellStyle name="Zvýraznění 6 2" xfId="325" xr:uid="{00000000-0005-0000-0000-000050010000}"/>
    <cellStyle name="Zvýraznění 6 2 2" xfId="326" xr:uid="{00000000-0005-0000-0000-000051010000}"/>
    <cellStyle name="Zvýraznění 6 2 3" xfId="327" xr:uid="{00000000-0005-0000-0000-000052010000}"/>
    <cellStyle name="Zvýraznění 6 2 4" xfId="328" xr:uid="{00000000-0005-0000-0000-000053010000}"/>
    <cellStyle name="Zvýraznění 6 2 5" xfId="329" xr:uid="{00000000-0005-0000-0000-000054010000}"/>
    <cellStyle name="Zvýraznění 6 2 6" xfId="330" xr:uid="{00000000-0005-0000-0000-000055010000}"/>
  </cellStyles>
  <dxfs count="19">
    <dxf>
      <font>
        <condense val="0"/>
        <extend val="0"/>
        <color indexed="10"/>
      </font>
    </dxf>
    <dxf>
      <font>
        <condense val="0"/>
        <extend val="0"/>
        <color indexed="48"/>
      </font>
      <fill>
        <patternFill patternType="none">
          <bgColor indexed="65"/>
        </patternFill>
      </fill>
    </dxf>
    <dxf>
      <font>
        <condense val="0"/>
        <extend val="0"/>
        <color indexed="10"/>
      </font>
    </dxf>
    <dxf>
      <font>
        <condense val="0"/>
        <extend val="0"/>
        <color indexed="14"/>
      </font>
    </dxf>
    <dxf>
      <border>
        <left/>
        <right style="dotted">
          <color theme="4" tint="0.39994506668294322"/>
        </right>
        <top style="thin">
          <color theme="4" tint="0.39994506668294322"/>
        </top>
        <bottom style="thin">
          <color theme="4" tint="0.39994506668294322"/>
        </bottom>
        <vertical style="dotted">
          <color theme="4" tint="0.39994506668294322"/>
        </vertical>
        <horizontal style="thin">
          <color theme="4" tint="0.39994506668294322"/>
        </horizontal>
      </border>
    </dxf>
    <dxf>
      <border>
        <left/>
        <right style="dotted">
          <color theme="4" tint="0.39994506668294322"/>
        </right>
        <top style="thin">
          <color theme="4" tint="0.39994506668294322"/>
        </top>
        <bottom style="thin">
          <color theme="4" tint="0.39994506668294322"/>
        </bottom>
        <vertical style="dotted">
          <color theme="4" tint="0.399945066682943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
      <border>
        <left/>
        <right style="dotted">
          <color theme="5" tint="0.39991454817346722"/>
        </right>
        <top style="thin">
          <color theme="5" tint="0.39994506668294322"/>
        </top>
        <bottom style="thin">
          <color theme="5" tint="0.39994506668294322"/>
        </bottom>
        <vertical style="dotted">
          <color theme="5" tint="0.39994506668294322"/>
        </vertical>
        <horizontal style="thin">
          <color theme="5" tint="0.39994506668294322"/>
        </horizontal>
      </border>
    </dxf>
    <dxf>
      <border>
        <left/>
        <right style="dotted">
          <color theme="5" tint="0.39991454817346722"/>
        </right>
        <top style="thin">
          <color theme="5" tint="0.39994506668294322"/>
        </top>
        <bottom style="thin">
          <color theme="5" tint="0.39994506668294322"/>
        </bottom>
        <vertical style="dotted">
          <color theme="5" tint="0.399914548173467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
      <border>
        <left/>
        <right style="dotted">
          <color theme="6" tint="0.39994506668294322"/>
        </right>
        <top style="thin">
          <color theme="6" tint="0.39994506668294322"/>
        </top>
        <bottom style="thin">
          <color theme="6" tint="0.39994506668294322"/>
        </bottom>
        <vertical style="dotted">
          <color theme="6" tint="0.39994506668294322"/>
        </vertical>
        <horizontal style="thin">
          <color theme="6" tint="0.39994506668294322"/>
        </horizontal>
      </border>
    </dxf>
    <dxf>
      <border>
        <left/>
        <right style="dotted">
          <color theme="6" tint="0.39994506668294322"/>
        </right>
        <top style="thin">
          <color theme="6" tint="0.39994506668294322"/>
        </top>
        <bottom style="thin">
          <color theme="6" tint="0.39994506668294322"/>
        </bottom>
        <vertical style="dotted">
          <color theme="6" tint="0.399945066682943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s>
  <tableStyles count="3" defaultTableStyle="TableStyleMedium9" defaultPivotStyle="PivotStyleLight16">
    <tableStyle name="Profit &amp; Loss Expenses" pivot="0" count="5" xr9:uid="{00000000-0011-0000-FFFF-FFFF00000000}">
      <tableStyleElement type="wholeTable" dxfId="18"/>
      <tableStyleElement type="headerRow" dxfId="17"/>
      <tableStyleElement type="totalRow" dxfId="16"/>
      <tableStyleElement type="firstRowStripe" dxfId="15"/>
      <tableStyleElement type="secondRowStripe" dxfId="14"/>
    </tableStyle>
    <tableStyle name="Profit &amp; Loss Revenue" pivot="0" count="5" xr9:uid="{00000000-0011-0000-FFFF-FFFF01000000}">
      <tableStyleElement type="wholeTable" dxfId="13"/>
      <tableStyleElement type="headerRow" dxfId="12"/>
      <tableStyleElement type="totalRow" dxfId="11"/>
      <tableStyleElement type="firstRowStripe" dxfId="10"/>
      <tableStyleElement type="secondRowStripe" dxfId="9"/>
    </tableStyle>
    <tableStyle name="Profit &amp; Loss Sales" pivot="0" count="5" xr9:uid="{00000000-0011-0000-FFFF-FFFF02000000}">
      <tableStyleElement type="wholeTable" dxfId="8"/>
      <tableStyleElement type="headerRow" dxfId="7"/>
      <tableStyleElement type="totalRow" dxfId="6"/>
      <tableStyleElement type="firstRowStripe" dxfId="5"/>
      <tableStyleElement type="secondRowStripe" dxfId="4"/>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B"/>
      <color rgb="FFA4D76B"/>
      <color rgb="FFFFFF99"/>
      <color rgb="FFC0C0C0"/>
      <color rgb="FFCCFFFF"/>
      <color rgb="FFB4DE86"/>
      <color rgb="FF66CCFF"/>
      <color rgb="FF6699FF"/>
      <color rgb="FF6DB1FB"/>
      <color rgb="FF379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28575</xdr:colOff>
      <xdr:row>74</xdr:row>
      <xdr:rowOff>114301</xdr:rowOff>
    </xdr:from>
    <xdr:to>
      <xdr:col>14</xdr:col>
      <xdr:colOff>619125</xdr:colOff>
      <xdr:row>80</xdr:row>
      <xdr:rowOff>57151</xdr:rowOff>
    </xdr:to>
    <xdr:sp macro="" textlink="">
      <xdr:nvSpPr>
        <xdr:cNvPr id="5" name="TextovéPole 4">
          <a:extLst>
            <a:ext uri="{FF2B5EF4-FFF2-40B4-BE49-F238E27FC236}">
              <a16:creationId xmlns:a16="http://schemas.microsoft.com/office/drawing/2014/main" id="{25CE297D-B3BE-473E-BC9E-8D9A82AFD12E}"/>
            </a:ext>
          </a:extLst>
        </xdr:cNvPr>
        <xdr:cNvSpPr txBox="1"/>
      </xdr:nvSpPr>
      <xdr:spPr>
        <a:xfrm>
          <a:off x="209550" y="9886951"/>
          <a:ext cx="13258800" cy="97155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1000" i="1"/>
            <a:t>Proveďte</a:t>
          </a:r>
          <a:r>
            <a:rPr lang="cs-CZ" sz="1000" i="1" baseline="0"/>
            <a:t> řádně identifikaci projektu na listu 0 (název, harmonogram projektu, scénář s projektem a bez projektu), rozpočet projektu a dobu životnosti klíčových prvků projektu (celkové investiční výdaje a zůstatková hodnota). Proveďte identifikaci předpokládaných dopravních a přepravních výkonů za dotčené dopravní módy. Proveďte identifikaci provozních výdajů a příjmů (provozní náklady infrastruktury, provozní náklady vozidel MHD a případné provozní příjmy). Ověřte a řádně interpretujte výsledky finanční analýzy včetně identifikace zdrojů financování a ověření finanční udržitelnosti. Řádně zadejte vstupy do ekonomické analýzy (vlivy projektu na úspory času, hluk a nehodvost, emise a ŽP včetně vlivů na emise CO2). Ověřte a interpretujte výsledky ekonomické analýzy. Řádně pracujte s variantou s projektem a bez projektu. Uvádějte všechny položky související s řešeným projektem. Položky nesouvisející s projektem, které jsou shodné ve variantě s projektem a bez projektu, není nutné uvádět. Všechny vstupy  uvádějte dle skutečnosti nebo reálných předpokladů a řádně argumentujte v doprovodné textové zprávě. </a:t>
          </a:r>
        </a:p>
        <a:p>
          <a:endParaRPr lang="cs-CZ" sz="1000" i="1" baseline="0"/>
        </a:p>
        <a:p>
          <a:endParaRPr lang="cs-CZ" sz="1000" i="1" baseline="0"/>
        </a:p>
        <a:p>
          <a:endParaRPr lang="cs-CZ" sz="1000" i="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ata\Pracovn&#237;\Rezortn&#237;%20metodika\D\CBA%20tabulky\p&#345;&#237;klady\I11%20&#268;astolovice%20-%20Kostelec\Souhrn%20finan&#269;n&#237;ch%20tok&#367;%202016%20var.%20Z&#225;kladn&#2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 pro vložení dat"/>
      <sheetName val="zbytková hodnota"/>
      <sheetName val="Celkov souhrn toku nediskont"/>
      <sheetName val="Celkov souhrn fin toku diskont"/>
      <sheetName val="Souhrn fin toku disk Exnad"/>
      <sheetName val="citlivostní analýza"/>
      <sheetName val="citlivostní analýza - uživatel"/>
      <sheetName val="List1"/>
    </sheetNames>
    <sheetDataSet>
      <sheetData sheetId="0" refreshError="1"/>
      <sheetData sheetId="1">
        <row r="13">
          <cell r="F13">
            <v>45</v>
          </cell>
        </row>
      </sheetData>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hyperlink" Target="https://www.mpo.cz/cz/energetika/statistika/elektrina-a-teplo/emisni-faktor-co2-z-vyroby-elektriny-za-leta-2010_2021--260559/" TargetMode="External"/><Relationship Id="rId4" Type="http://schemas.openxmlformats.org/officeDocument/2006/relationships/comments" Target="../comments4.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app.electricitymap.org/zone/CZ" TargetMode="External"/><Relationship Id="rId1" Type="http://schemas.openxmlformats.org/officeDocument/2006/relationships/hyperlink" Target="https://www.mpo.cz/cz/energetika/statistika/elektrina-a-teplo/emisni-faktor-co2-z-vyroby-elektriny-za-leta-2010_2021--260559/" TargetMode="External"/><Relationship Id="rId5" Type="http://schemas.openxmlformats.org/officeDocument/2006/relationships/comments" Target="../comments5.xml"/><Relationship Id="rId4" Type="http://schemas.openxmlformats.org/officeDocument/2006/relationships/vmlDrawing" Target="../drawings/vmlDrawing5.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pageSetUpPr fitToPage="1"/>
  </sheetPr>
  <dimension ref="A1:AT108"/>
  <sheetViews>
    <sheetView tabSelected="1" defaultGridColor="0" colorId="23" zoomScaleNormal="100" zoomScaleSheetLayoutView="70" workbookViewId="0">
      <selection activeCell="Q17" sqref="Q17"/>
    </sheetView>
  </sheetViews>
  <sheetFormatPr defaultColWidth="11.42578125" defaultRowHeight="13.5" x14ac:dyDescent="0.25"/>
  <cols>
    <col min="1" max="1" width="2.7109375" style="18" customWidth="1"/>
    <col min="2" max="2" width="13.42578125" style="18" customWidth="1"/>
    <col min="3" max="14" width="14.7109375" style="18" customWidth="1"/>
    <col min="15" max="15" width="10.28515625" style="18" customWidth="1"/>
    <col min="16" max="16" width="11.42578125" style="18"/>
    <col min="17" max="17" width="24.28515625" style="18" customWidth="1"/>
    <col min="18" max="16384" width="11.42578125" style="18"/>
  </cols>
  <sheetData>
    <row r="1" spans="2:15" ht="14.25" thickBot="1" x14ac:dyDescent="0.3"/>
    <row r="2" spans="2:15" x14ac:dyDescent="0.25">
      <c r="B2" s="26"/>
      <c r="C2" s="27"/>
      <c r="D2" s="27"/>
      <c r="E2" s="27"/>
      <c r="F2" s="27"/>
      <c r="G2" s="27"/>
      <c r="H2" s="27"/>
      <c r="I2" s="27"/>
      <c r="J2" s="27"/>
      <c r="K2" s="27"/>
      <c r="L2" s="27"/>
      <c r="M2" s="27"/>
      <c r="N2" s="27"/>
      <c r="O2" s="28"/>
    </row>
    <row r="3" spans="2:15" x14ac:dyDescent="0.25">
      <c r="B3" s="29"/>
      <c r="C3" s="225" t="str">
        <f>IF($M$10="English",Slovnik!$D$5,Slovnik!$C$5)</f>
        <v>Úvod</v>
      </c>
      <c r="D3" s="226"/>
      <c r="E3" s="226"/>
      <c r="F3" s="226"/>
      <c r="G3" s="226"/>
      <c r="H3" s="226"/>
      <c r="I3" s="226"/>
      <c r="J3" s="226"/>
      <c r="K3" s="226"/>
      <c r="L3" s="226"/>
      <c r="M3" s="226"/>
      <c r="N3" s="226"/>
      <c r="O3" s="30"/>
    </row>
    <row r="4" spans="2:15" ht="12.75" customHeight="1" x14ac:dyDescent="0.25">
      <c r="B4" s="29"/>
      <c r="C4" s="1795" t="str">
        <f>IF($M$10="English",Slovnik!$E$6,Slovnik!$E$5)</f>
        <v>Zjednodušené tabulky FA a EA připravené pro projekty MHD založené na finančních a ekonomických tabulkách z Rezortní metodiky pro hodnocení ekonomické efektivnosti projektů dopravních staveb (MD ČR, 2017). Model je založen na analýze výnosů a nákladů a je plně v souladu s Nařízením komise (EU) 2015/207.
Tabulky vychází z původního vzoru DG REGIO/F.2 a jejich dalšího zpracování ze strany SUDOP PRAHA a.s.</v>
      </c>
      <c r="D4" s="1795"/>
      <c r="E4" s="1795"/>
      <c r="F4" s="1795"/>
      <c r="G4" s="1795"/>
      <c r="H4" s="1795"/>
      <c r="I4" s="1795"/>
      <c r="J4" s="1795"/>
      <c r="K4" s="1795"/>
      <c r="L4" s="1795"/>
      <c r="M4" s="1795"/>
      <c r="N4" s="1795"/>
      <c r="O4" s="30"/>
    </row>
    <row r="5" spans="2:15" ht="12.75" customHeight="1" x14ac:dyDescent="0.25">
      <c r="B5" s="29"/>
      <c r="C5" s="1795"/>
      <c r="D5" s="1795"/>
      <c r="E5" s="1795"/>
      <c r="F5" s="1795"/>
      <c r="G5" s="1795"/>
      <c r="H5" s="1795"/>
      <c r="I5" s="1795"/>
      <c r="J5" s="1795"/>
      <c r="K5" s="1795"/>
      <c r="L5" s="1795"/>
      <c r="M5" s="1795"/>
      <c r="N5" s="1795"/>
      <c r="O5" s="30"/>
    </row>
    <row r="6" spans="2:15" ht="12.75" customHeight="1" x14ac:dyDescent="0.25">
      <c r="B6" s="29"/>
      <c r="C6" s="1795"/>
      <c r="D6" s="1795"/>
      <c r="E6" s="1795"/>
      <c r="F6" s="1795"/>
      <c r="G6" s="1795"/>
      <c r="H6" s="1795"/>
      <c r="I6" s="1795"/>
      <c r="J6" s="1795"/>
      <c r="K6" s="1795"/>
      <c r="L6" s="1795"/>
      <c r="M6" s="1795"/>
      <c r="N6" s="1795"/>
      <c r="O6" s="30"/>
    </row>
    <row r="7" spans="2:15" ht="12.75" customHeight="1" x14ac:dyDescent="0.25">
      <c r="B7" s="29"/>
      <c r="C7" s="1795"/>
      <c r="D7" s="1795"/>
      <c r="E7" s="1795"/>
      <c r="F7" s="1795"/>
      <c r="G7" s="1795"/>
      <c r="H7" s="1795"/>
      <c r="I7" s="1795"/>
      <c r="J7" s="1795"/>
      <c r="K7" s="1795"/>
      <c r="L7" s="1795"/>
      <c r="M7" s="1795"/>
      <c r="N7" s="1795"/>
      <c r="O7" s="30"/>
    </row>
    <row r="8" spans="2:15" ht="12.75" customHeight="1" x14ac:dyDescent="0.25">
      <c r="B8" s="29"/>
      <c r="C8" s="1795"/>
      <c r="D8" s="1795"/>
      <c r="E8" s="1795"/>
      <c r="F8" s="1795"/>
      <c r="G8" s="1795"/>
      <c r="H8" s="1795"/>
      <c r="I8" s="1795"/>
      <c r="J8" s="1795"/>
      <c r="K8" s="1795"/>
      <c r="L8" s="1795"/>
      <c r="M8" s="1795"/>
      <c r="N8" s="1795"/>
      <c r="O8" s="30"/>
    </row>
    <row r="9" spans="2:15" ht="12.75" customHeight="1" x14ac:dyDescent="0.25">
      <c r="B9" s="29"/>
      <c r="C9" s="1795"/>
      <c r="D9" s="1795"/>
      <c r="E9" s="1795"/>
      <c r="F9" s="1795"/>
      <c r="G9" s="1795"/>
      <c r="H9" s="1795"/>
      <c r="I9" s="1795"/>
      <c r="J9" s="1795"/>
      <c r="K9" s="1795"/>
      <c r="L9" s="1795"/>
      <c r="M9" s="1795"/>
      <c r="N9" s="1795"/>
      <c r="O9" s="30"/>
    </row>
    <row r="10" spans="2:15" ht="12.75" hidden="1" customHeight="1" thickBot="1" x14ac:dyDescent="0.3">
      <c r="B10" s="29"/>
      <c r="C10" s="24"/>
      <c r="D10" s="24"/>
      <c r="E10" s="24"/>
      <c r="F10" s="24"/>
      <c r="G10" s="24"/>
      <c r="H10" s="24"/>
      <c r="I10" s="24"/>
      <c r="J10" s="24"/>
      <c r="K10" s="24"/>
      <c r="L10" s="25" t="str">
        <f>IF($M$10="English",Slovnik!$D$4,Slovnik!$C$4)</f>
        <v>Jazyk</v>
      </c>
      <c r="M10" s="629" t="s">
        <v>0</v>
      </c>
      <c r="N10" s="551" t="s">
        <v>1368</v>
      </c>
      <c r="O10" s="30"/>
    </row>
    <row r="11" spans="2:15" ht="12.75" customHeight="1" thickBot="1" x14ac:dyDescent="0.3">
      <c r="B11" s="31"/>
      <c r="C11" s="32"/>
      <c r="D11" s="32"/>
      <c r="E11" s="32"/>
      <c r="F11" s="32"/>
      <c r="G11" s="32"/>
      <c r="H11" s="32"/>
      <c r="I11" s="32"/>
      <c r="J11" s="32"/>
      <c r="K11" s="32"/>
      <c r="L11" s="32"/>
      <c r="M11" s="32"/>
      <c r="N11" s="32" t="s">
        <v>1624</v>
      </c>
      <c r="O11" s="33"/>
    </row>
    <row r="12" spans="2:15" ht="12.75" customHeight="1" thickBot="1" x14ac:dyDescent="0.3">
      <c r="B12" s="19"/>
      <c r="C12" s="20"/>
      <c r="D12" s="20"/>
      <c r="E12" s="20"/>
      <c r="F12" s="20"/>
      <c r="G12" s="20"/>
      <c r="H12" s="20"/>
      <c r="I12" s="20"/>
      <c r="J12" s="20"/>
      <c r="K12" s="20"/>
      <c r="L12" s="20"/>
      <c r="M12" s="20"/>
      <c r="N12" s="20"/>
      <c r="O12" s="20"/>
    </row>
    <row r="13" spans="2:15" ht="12.75" customHeight="1" x14ac:dyDescent="0.25">
      <c r="B13" s="26"/>
      <c r="C13" s="27"/>
      <c r="D13" s="27"/>
      <c r="E13" s="27"/>
      <c r="F13" s="27"/>
      <c r="G13" s="27"/>
      <c r="H13" s="27"/>
      <c r="I13" s="27"/>
      <c r="J13" s="27"/>
      <c r="K13" s="27"/>
      <c r="L13" s="27"/>
      <c r="M13" s="27"/>
      <c r="N13" s="27"/>
      <c r="O13" s="28"/>
    </row>
    <row r="14" spans="2:15" ht="12.75" customHeight="1" x14ac:dyDescent="0.25">
      <c r="B14" s="29"/>
      <c r="C14" s="225" t="str">
        <f>IF($M$10="English",Slovnik!$D$6,Slovnik!$C$6)</f>
        <v>Základní informace</v>
      </c>
      <c r="D14" s="226"/>
      <c r="E14" s="226"/>
      <c r="F14" s="226"/>
      <c r="G14" s="226"/>
      <c r="H14" s="226"/>
      <c r="I14" s="226"/>
      <c r="J14" s="226"/>
      <c r="K14" s="226"/>
      <c r="L14" s="226"/>
      <c r="M14" s="226"/>
      <c r="N14" s="226"/>
      <c r="O14" s="30"/>
    </row>
    <row r="15" spans="2:15" ht="12.75" customHeight="1" thickBot="1" x14ac:dyDescent="0.3">
      <c r="B15" s="29"/>
      <c r="C15" s="34"/>
      <c r="D15" s="34"/>
      <c r="E15" s="34"/>
      <c r="F15" s="34"/>
      <c r="G15" s="34"/>
      <c r="H15" s="34"/>
      <c r="I15" s="34"/>
      <c r="J15" s="34"/>
      <c r="K15" s="34"/>
      <c r="L15" s="34"/>
      <c r="M15" s="34"/>
      <c r="N15" s="34"/>
      <c r="O15" s="30"/>
    </row>
    <row r="16" spans="2:15" ht="17.25" customHeight="1" thickBot="1" x14ac:dyDescent="0.3">
      <c r="B16" s="29"/>
      <c r="C16" s="35" t="str">
        <f>IF($M$10="English",Slovnik!$D$7,Slovnik!$C$7)</f>
        <v>Název projektu</v>
      </c>
      <c r="D16" s="1792"/>
      <c r="E16" s="1793"/>
      <c r="F16" s="1793"/>
      <c r="G16" s="1793"/>
      <c r="H16" s="1793"/>
      <c r="I16" s="1793"/>
      <c r="J16" s="1793"/>
      <c r="K16" s="1793"/>
      <c r="L16" s="1793"/>
      <c r="M16" s="1793"/>
      <c r="N16" s="1794"/>
      <c r="O16" s="30"/>
    </row>
    <row r="17" spans="2:15" ht="12.75" customHeight="1" thickBot="1" x14ac:dyDescent="0.3">
      <c r="B17" s="29"/>
      <c r="C17" s="34"/>
      <c r="D17" s="34"/>
      <c r="E17" s="34"/>
      <c r="F17" s="34"/>
      <c r="G17" s="34"/>
      <c r="H17" s="34"/>
      <c r="I17" s="34"/>
      <c r="J17" s="34"/>
      <c r="K17" s="34"/>
      <c r="L17" s="34"/>
      <c r="M17" s="34"/>
      <c r="N17" s="34"/>
      <c r="O17" s="30"/>
    </row>
    <row r="18" spans="2:15" ht="17.25" customHeight="1" thickBot="1" x14ac:dyDescent="0.35">
      <c r="B18" s="29"/>
      <c r="C18" s="36" t="str">
        <f>IF($M$10="English",Slovnik!$D$10,Slovnik!$C$10)</f>
        <v>Cenová úroveň (CÚ)</v>
      </c>
      <c r="D18" s="44">
        <v>2025</v>
      </c>
      <c r="E18" s="34"/>
      <c r="F18" s="36" t="str">
        <f>IF($M$10="English",Slovnik!$D$13,Slovnik!$C$13)</f>
        <v>Začátek stavebních prací</v>
      </c>
      <c r="G18" s="44">
        <v>2026</v>
      </c>
      <c r="H18" s="34"/>
      <c r="I18" s="36" t="str">
        <f>IF($M$10="English",Slovnik!$D$15,Slovnik!$C$15)</f>
        <v>Doba hodnocení</v>
      </c>
      <c r="J18" s="44">
        <v>30</v>
      </c>
      <c r="K18" s="36"/>
      <c r="L18" s="36"/>
      <c r="M18" s="36" t="str">
        <f>IF($M$10="English",Slovnik!$D$16,Slovnik!$C$16)</f>
        <v>Směnný kurz (CZK/EUR)</v>
      </c>
      <c r="N18" s="1739">
        <v>24.96</v>
      </c>
      <c r="O18" s="30"/>
    </row>
    <row r="19" spans="2:15" ht="9.9499999999999993" customHeight="1" thickBot="1" x14ac:dyDescent="0.3">
      <c r="B19" s="29"/>
      <c r="C19" s="36"/>
      <c r="D19" s="37"/>
      <c r="E19" s="34"/>
      <c r="F19" s="36"/>
      <c r="G19" s="37"/>
      <c r="H19" s="34"/>
      <c r="I19" s="36"/>
      <c r="J19" s="37"/>
      <c r="K19" s="37"/>
      <c r="L19" s="37"/>
      <c r="M19" s="37"/>
      <c r="N19" s="34"/>
      <c r="O19" s="30"/>
    </row>
    <row r="20" spans="2:15" ht="17.25" customHeight="1" thickBot="1" x14ac:dyDescent="0.35">
      <c r="B20" s="29"/>
      <c r="C20" s="36" t="str">
        <f>IF($M$10="English",Slovnik!$D$14,Slovnik!$C$14)</f>
        <v>Začátek provozu</v>
      </c>
      <c r="D20" s="44">
        <v>2026</v>
      </c>
      <c r="E20" s="34"/>
      <c r="F20" s="36" t="s">
        <v>1520</v>
      </c>
      <c r="G20" s="628" t="s">
        <v>1521</v>
      </c>
      <c r="H20" s="34"/>
      <c r="I20" s="36" t="str">
        <f>IF($M$10="English",Slovnik!$D$9,Slovnik!$C$9)</f>
        <v>Diskontní sazba</v>
      </c>
      <c r="J20" s="390">
        <v>0.02</v>
      </c>
      <c r="K20" s="390">
        <v>0.03</v>
      </c>
      <c r="L20" s="36"/>
      <c r="M20" s="36" t="str">
        <f>IF($M$10="English",Slovnik!$D$17,Slovnik!$C$17)</f>
        <v>DPH</v>
      </c>
      <c r="N20" s="391">
        <v>0.21</v>
      </c>
      <c r="O20" s="30"/>
    </row>
    <row r="21" spans="2:15" ht="17.25" customHeight="1" x14ac:dyDescent="0.25">
      <c r="B21" s="29"/>
      <c r="C21" s="34"/>
      <c r="D21" s="34"/>
      <c r="E21" s="34"/>
      <c r="F21" s="36"/>
      <c r="G21" s="37"/>
      <c r="H21" s="34"/>
      <c r="I21" s="36"/>
      <c r="J21" s="45" t="str">
        <f>IF($M$10="English",Slovnik!$D$11,Slovnik!$C$11)</f>
        <v>finanční</v>
      </c>
      <c r="K21" s="45" t="str">
        <f>IF($M$10="English",Slovnik!$D$12,Slovnik!$C$12)</f>
        <v>ekonomická</v>
      </c>
      <c r="L21" s="36"/>
      <c r="M21" s="36"/>
      <c r="N21" s="34"/>
      <c r="O21" s="30"/>
    </row>
    <row r="22" spans="2:15" ht="12.75" customHeight="1" thickBot="1" x14ac:dyDescent="0.3">
      <c r="B22" s="31"/>
      <c r="C22" s="32"/>
      <c r="D22" s="32"/>
      <c r="E22" s="32"/>
      <c r="F22" s="32"/>
      <c r="G22" s="32"/>
      <c r="H22" s="32"/>
      <c r="I22" s="32"/>
      <c r="J22" s="32"/>
      <c r="K22" s="32"/>
      <c r="L22" s="32"/>
      <c r="M22" s="32"/>
      <c r="N22" s="32"/>
      <c r="O22" s="33"/>
    </row>
    <row r="23" spans="2:15" ht="12.75" customHeight="1" thickBot="1" x14ac:dyDescent="0.3"/>
    <row r="24" spans="2:15" ht="12.75" customHeight="1" x14ac:dyDescent="0.25">
      <c r="B24" s="26"/>
      <c r="C24" s="27"/>
      <c r="D24" s="27"/>
      <c r="E24" s="27"/>
      <c r="F24" s="27"/>
      <c r="G24" s="27"/>
      <c r="H24" s="27"/>
      <c r="I24" s="27"/>
      <c r="J24" s="27"/>
      <c r="K24" s="27"/>
      <c r="L24" s="27"/>
      <c r="M24" s="27"/>
      <c r="N24" s="27"/>
      <c r="O24" s="28"/>
    </row>
    <row r="25" spans="2:15" ht="12.75" customHeight="1" x14ac:dyDescent="0.25">
      <c r="B25" s="29"/>
      <c r="C25" s="38" t="str">
        <f>IF($M$10="English",Slovnik!$D$18,Slovnik!$C$18)</f>
        <v>Hodnocené scénáře</v>
      </c>
      <c r="D25" s="34"/>
      <c r="E25" s="34"/>
      <c r="F25" s="34"/>
      <c r="G25" s="34"/>
      <c r="H25" s="34"/>
      <c r="I25" s="34"/>
      <c r="J25" s="34"/>
      <c r="K25" s="34"/>
      <c r="L25" s="34"/>
      <c r="M25" s="34"/>
      <c r="N25" s="34"/>
      <c r="O25" s="30"/>
    </row>
    <row r="26" spans="2:15" ht="12.75" customHeight="1" x14ac:dyDescent="0.25">
      <c r="B26" s="1796" t="str">
        <f>IF($M$10="English",Slovnik!$D$19,Slovnik!$C$19)</f>
        <v>BEZ PROJEKTU</v>
      </c>
      <c r="C26" s="1797"/>
      <c r="D26" s="1798"/>
      <c r="E26" s="1798"/>
      <c r="F26" s="1798"/>
      <c r="G26" s="1798"/>
      <c r="H26" s="1798"/>
      <c r="I26" s="1798"/>
      <c r="J26" s="1798"/>
      <c r="K26" s="1798"/>
      <c r="L26" s="1798"/>
      <c r="M26" s="1798"/>
      <c r="N26" s="1799"/>
      <c r="O26" s="30"/>
    </row>
    <row r="27" spans="2:15" ht="12.75" customHeight="1" x14ac:dyDescent="0.25">
      <c r="B27" s="1796"/>
      <c r="C27" s="1800"/>
      <c r="D27" s="1801"/>
      <c r="E27" s="1801"/>
      <c r="F27" s="1801"/>
      <c r="G27" s="1801"/>
      <c r="H27" s="1801"/>
      <c r="I27" s="1801"/>
      <c r="J27" s="1801"/>
      <c r="K27" s="1801"/>
      <c r="L27" s="1801"/>
      <c r="M27" s="1801"/>
      <c r="N27" s="1802"/>
      <c r="O27" s="30"/>
    </row>
    <row r="28" spans="2:15" ht="12.75" customHeight="1" x14ac:dyDescent="0.25">
      <c r="B28" s="1796"/>
      <c r="C28" s="1800"/>
      <c r="D28" s="1801"/>
      <c r="E28" s="1801"/>
      <c r="F28" s="1801"/>
      <c r="G28" s="1801"/>
      <c r="H28" s="1801"/>
      <c r="I28" s="1801"/>
      <c r="J28" s="1801"/>
      <c r="K28" s="1801"/>
      <c r="L28" s="1801"/>
      <c r="M28" s="1801"/>
      <c r="N28" s="1802"/>
      <c r="O28" s="30"/>
    </row>
    <row r="29" spans="2:15" x14ac:dyDescent="0.25">
      <c r="B29" s="1796"/>
      <c r="C29" s="1803"/>
      <c r="D29" s="1804"/>
      <c r="E29" s="1804"/>
      <c r="F29" s="1804"/>
      <c r="G29" s="1804"/>
      <c r="H29" s="1804"/>
      <c r="I29" s="1804"/>
      <c r="J29" s="1804"/>
      <c r="K29" s="1804"/>
      <c r="L29" s="1804"/>
      <c r="M29" s="1804"/>
      <c r="N29" s="1805"/>
      <c r="O29" s="30"/>
    </row>
    <row r="30" spans="2:15" ht="12.75" customHeight="1" x14ac:dyDescent="0.25">
      <c r="B30" s="29"/>
      <c r="C30" s="34"/>
      <c r="D30" s="34"/>
      <c r="E30" s="34"/>
      <c r="F30" s="34"/>
      <c r="G30" s="34"/>
      <c r="H30" s="34"/>
      <c r="I30" s="34"/>
      <c r="J30" s="34"/>
      <c r="K30" s="34"/>
      <c r="L30" s="34"/>
      <c r="M30" s="34"/>
      <c r="N30" s="34"/>
      <c r="O30" s="30"/>
    </row>
    <row r="31" spans="2:15" ht="12.75" customHeight="1" x14ac:dyDescent="0.25">
      <c r="B31" s="1796" t="str">
        <f>IF($M$10="English",Slovnik!$D$20,Slovnik!$C$20)</f>
        <v>S PROJEKTEM</v>
      </c>
      <c r="C31" s="1797"/>
      <c r="D31" s="1806"/>
      <c r="E31" s="1806"/>
      <c r="F31" s="1806"/>
      <c r="G31" s="1806"/>
      <c r="H31" s="1806"/>
      <c r="I31" s="1806"/>
      <c r="J31" s="1806"/>
      <c r="K31" s="1806"/>
      <c r="L31" s="1806"/>
      <c r="M31" s="1806"/>
      <c r="N31" s="1807"/>
      <c r="O31" s="30"/>
    </row>
    <row r="32" spans="2:15" ht="12.75" customHeight="1" x14ac:dyDescent="0.25">
      <c r="B32" s="1796"/>
      <c r="C32" s="1808"/>
      <c r="D32" s="1809"/>
      <c r="E32" s="1809"/>
      <c r="F32" s="1809"/>
      <c r="G32" s="1809"/>
      <c r="H32" s="1809"/>
      <c r="I32" s="1809"/>
      <c r="J32" s="1809"/>
      <c r="K32" s="1809"/>
      <c r="L32" s="1809"/>
      <c r="M32" s="1809"/>
      <c r="N32" s="1810"/>
      <c r="O32" s="30"/>
    </row>
    <row r="33" spans="2:15" ht="12.75" customHeight="1" x14ac:dyDescent="0.25">
      <c r="B33" s="1796"/>
      <c r="C33" s="1808"/>
      <c r="D33" s="1809"/>
      <c r="E33" s="1809"/>
      <c r="F33" s="1809"/>
      <c r="G33" s="1809"/>
      <c r="H33" s="1809"/>
      <c r="I33" s="1809"/>
      <c r="J33" s="1809"/>
      <c r="K33" s="1809"/>
      <c r="L33" s="1809"/>
      <c r="M33" s="1809"/>
      <c r="N33" s="1810"/>
      <c r="O33" s="30"/>
    </row>
    <row r="34" spans="2:15" x14ac:dyDescent="0.25">
      <c r="B34" s="1796"/>
      <c r="C34" s="1811"/>
      <c r="D34" s="1812"/>
      <c r="E34" s="1812"/>
      <c r="F34" s="1812"/>
      <c r="G34" s="1812"/>
      <c r="H34" s="1812"/>
      <c r="I34" s="1812"/>
      <c r="J34" s="1812"/>
      <c r="K34" s="1812"/>
      <c r="L34" s="1812"/>
      <c r="M34" s="1812"/>
      <c r="N34" s="1813"/>
      <c r="O34" s="30"/>
    </row>
    <row r="35" spans="2:15" ht="12.75" customHeight="1" thickBot="1" x14ac:dyDescent="0.3">
      <c r="B35" s="31"/>
      <c r="C35" s="32"/>
      <c r="D35" s="32"/>
      <c r="E35" s="32"/>
      <c r="F35" s="32"/>
      <c r="G35" s="32"/>
      <c r="H35" s="32"/>
      <c r="I35" s="32"/>
      <c r="J35" s="32"/>
      <c r="K35" s="32"/>
      <c r="L35" s="32"/>
      <c r="M35" s="32"/>
      <c r="N35" s="32"/>
      <c r="O35" s="33"/>
    </row>
    <row r="36" spans="2:15" ht="12.75" customHeight="1" thickBot="1" x14ac:dyDescent="0.3"/>
    <row r="37" spans="2:15" x14ac:dyDescent="0.25">
      <c r="B37" s="567"/>
      <c r="C37" s="568"/>
      <c r="D37" s="568"/>
      <c r="E37" s="568"/>
      <c r="F37" s="568"/>
      <c r="G37" s="568"/>
      <c r="H37" s="568"/>
      <c r="I37" s="568"/>
      <c r="J37" s="568"/>
      <c r="K37" s="568"/>
      <c r="L37" s="568"/>
      <c r="M37" s="568"/>
      <c r="N37" s="568"/>
      <c r="O37" s="569"/>
    </row>
    <row r="38" spans="2:15" x14ac:dyDescent="0.25">
      <c r="B38" s="570"/>
      <c r="C38" s="225" t="str">
        <f>IF($M$10="English",Slovnik!$D$21,Slovnik!$C$21)</f>
        <v>Míra inflace</v>
      </c>
      <c r="D38" s="226"/>
      <c r="E38" s="226"/>
      <c r="F38" s="226"/>
      <c r="G38" s="226"/>
      <c r="H38" s="226"/>
      <c r="I38" s="226"/>
      <c r="J38" s="226"/>
      <c r="K38" s="226"/>
      <c r="L38" s="226"/>
      <c r="M38" s="226"/>
      <c r="N38" s="226"/>
      <c r="O38" s="571"/>
    </row>
    <row r="39" spans="2:15" ht="14.25" thickBot="1" x14ac:dyDescent="0.3">
      <c r="B39" s="570"/>
      <c r="C39" s="34"/>
      <c r="D39" s="34"/>
      <c r="E39" s="34"/>
      <c r="F39" s="34"/>
      <c r="G39" s="34"/>
      <c r="H39" s="34"/>
      <c r="I39" s="34"/>
      <c r="J39" s="34"/>
      <c r="K39" s="34"/>
      <c r="L39" s="34"/>
      <c r="M39" s="34"/>
      <c r="N39" s="34"/>
      <c r="O39" s="571"/>
    </row>
    <row r="40" spans="2:15" ht="14.25" customHeight="1" x14ac:dyDescent="0.25">
      <c r="B40" s="570"/>
      <c r="C40" s="53" t="str">
        <f>IF($M$10="English",Slovnik!$D$22,Slovnik!$C$22)</f>
        <v>rok</v>
      </c>
      <c r="D40" s="53">
        <v>2014</v>
      </c>
      <c r="E40" s="53">
        <v>2015</v>
      </c>
      <c r="F40" s="53">
        <v>2016</v>
      </c>
      <c r="G40" s="53">
        <v>2017</v>
      </c>
      <c r="H40" s="53">
        <v>2018</v>
      </c>
      <c r="I40" s="53">
        <v>2019</v>
      </c>
      <c r="J40" s="53">
        <v>2020</v>
      </c>
      <c r="K40" s="53">
        <v>2021</v>
      </c>
      <c r="L40" s="53">
        <v>2022</v>
      </c>
      <c r="M40" s="53">
        <v>2023</v>
      </c>
      <c r="N40" s="53">
        <v>2024</v>
      </c>
      <c r="O40" s="572" t="s">
        <v>1</v>
      </c>
    </row>
    <row r="41" spans="2:15" ht="14.25" thickBot="1" x14ac:dyDescent="0.3">
      <c r="B41" s="570"/>
      <c r="C41" s="54" t="str">
        <f>IF($M$10="English",Slovnik!$D$23,Slovnik!$C$23)</f>
        <v>inflace</v>
      </c>
      <c r="D41" s="509">
        <v>4.0000000000000001E-3</v>
      </c>
      <c r="E41" s="509">
        <v>3.0000000000000001E-3</v>
      </c>
      <c r="F41" s="509">
        <v>7.0000000000000001E-3</v>
      </c>
      <c r="G41" s="509">
        <v>2.5000000000000001E-2</v>
      </c>
      <c r="H41" s="509">
        <v>2.1000000000000001E-2</v>
      </c>
      <c r="I41" s="509">
        <v>2.8000000000000001E-2</v>
      </c>
      <c r="J41" s="509">
        <v>3.2000000000000001E-2</v>
      </c>
      <c r="K41" s="509">
        <v>3.7999999999999999E-2</v>
      </c>
      <c r="L41" s="509">
        <v>0.151</v>
      </c>
      <c r="M41" s="509">
        <v>0.107</v>
      </c>
      <c r="N41" s="509">
        <v>2.5999999999999999E-2</v>
      </c>
      <c r="O41" s="573"/>
    </row>
    <row r="42" spans="2:15" x14ac:dyDescent="0.25">
      <c r="B42" s="570"/>
      <c r="C42" s="42"/>
      <c r="D42" s="43">
        <v>1</v>
      </c>
      <c r="E42" s="43">
        <v>1</v>
      </c>
      <c r="F42" s="43">
        <v>1</v>
      </c>
      <c r="G42" s="43">
        <v>1</v>
      </c>
      <c r="H42" s="43">
        <v>1</v>
      </c>
      <c r="I42" s="43">
        <v>1</v>
      </c>
      <c r="J42" s="43">
        <v>1</v>
      </c>
      <c r="K42" s="43">
        <f>J42*(1+K41)</f>
        <v>1.038</v>
      </c>
      <c r="L42" s="43">
        <f>K42*(1+L41)</f>
        <v>1.1947380000000001</v>
      </c>
      <c r="M42" s="43">
        <f>L42*(1+M41)</f>
        <v>1.3225749660000001</v>
      </c>
      <c r="N42" s="43">
        <f>M42*(1+N41)</f>
        <v>1.3569619151160002</v>
      </c>
      <c r="O42" s="573"/>
    </row>
    <row r="43" spans="2:15" x14ac:dyDescent="0.25">
      <c r="B43" s="570"/>
      <c r="C43" s="41" t="s">
        <v>1592</v>
      </c>
      <c r="D43" s="34"/>
      <c r="E43" s="34"/>
      <c r="F43" s="34"/>
      <c r="G43" s="34"/>
      <c r="H43" s="34"/>
      <c r="I43" s="34"/>
      <c r="J43" s="34"/>
      <c r="K43" s="34"/>
      <c r="L43" s="34"/>
      <c r="M43" s="34"/>
      <c r="N43" s="34"/>
      <c r="O43" s="573"/>
    </row>
    <row r="44" spans="2:15" ht="14.25" thickBot="1" x14ac:dyDescent="0.3">
      <c r="B44" s="574"/>
      <c r="C44" s="575"/>
      <c r="D44" s="575"/>
      <c r="E44" s="575"/>
      <c r="F44" s="575"/>
      <c r="G44" s="575"/>
      <c r="H44" s="575"/>
      <c r="I44" s="575"/>
      <c r="J44" s="575"/>
      <c r="K44" s="575"/>
      <c r="L44" s="575"/>
      <c r="M44" s="575"/>
      <c r="N44" s="575"/>
      <c r="O44" s="576"/>
    </row>
    <row r="45" spans="2:15" hidden="1" x14ac:dyDescent="0.25">
      <c r="B45" s="29"/>
      <c r="C45" s="512" t="str">
        <f>IF($M$10="English",Slovnik!$D$24,Slovnik!$C$24)</f>
        <v>Index cen stavebních prací</v>
      </c>
      <c r="D45" s="513"/>
      <c r="E45" s="513"/>
      <c r="F45" s="513"/>
      <c r="G45" s="513"/>
      <c r="H45" s="513"/>
      <c r="I45" s="513"/>
      <c r="J45" s="513"/>
      <c r="K45" s="513"/>
      <c r="L45" s="513"/>
      <c r="M45" s="513"/>
      <c r="N45" s="513"/>
      <c r="O45" s="49"/>
    </row>
    <row r="46" spans="2:15" ht="14.25" hidden="1" thickBot="1" x14ac:dyDescent="0.3">
      <c r="B46" s="29"/>
      <c r="C46" s="34"/>
      <c r="D46" s="34"/>
      <c r="E46" s="34"/>
      <c r="F46" s="34"/>
      <c r="G46" s="34"/>
      <c r="H46" s="34"/>
      <c r="I46" s="34"/>
      <c r="J46" s="34"/>
      <c r="K46" s="34"/>
      <c r="L46" s="34"/>
      <c r="M46" s="34"/>
      <c r="N46" s="34"/>
      <c r="O46" s="49"/>
    </row>
    <row r="47" spans="2:15" hidden="1" x14ac:dyDescent="0.25">
      <c r="B47" s="29"/>
      <c r="C47" s="53" t="str">
        <f>IF($M$10="English",Slovnik!$D$22,Slovnik!$C$22)</f>
        <v>rok</v>
      </c>
      <c r="D47" s="53">
        <v>2012</v>
      </c>
      <c r="E47" s="53">
        <v>2013</v>
      </c>
      <c r="F47" s="53">
        <v>2014</v>
      </c>
      <c r="G47" s="53">
        <v>2015</v>
      </c>
      <c r="H47" s="53">
        <v>2016</v>
      </c>
      <c r="I47" s="53">
        <v>2017</v>
      </c>
      <c r="J47" s="53">
        <v>2018</v>
      </c>
      <c r="K47" s="53">
        <v>2019</v>
      </c>
      <c r="L47" s="53">
        <v>2020</v>
      </c>
      <c r="M47" s="53">
        <v>2021</v>
      </c>
      <c r="N47" s="53">
        <v>2022</v>
      </c>
      <c r="O47" s="48" t="s">
        <v>1</v>
      </c>
    </row>
    <row r="48" spans="2:15" ht="14.25" hidden="1" thickBot="1" x14ac:dyDescent="0.3">
      <c r="B48" s="29"/>
      <c r="C48" s="54" t="str">
        <f>IF($M$10="English",Slovnik!$D$23,Slovnik!$C$23)</f>
        <v>inflace</v>
      </c>
      <c r="D48" s="392">
        <v>-7.0000000000000001E-3</v>
      </c>
      <c r="E48" s="392">
        <v>-1.0999999999999999E-2</v>
      </c>
      <c r="F48" s="392">
        <v>5.0000000000000001E-3</v>
      </c>
      <c r="G48" s="392">
        <v>0</v>
      </c>
      <c r="H48" s="392">
        <v>0</v>
      </c>
      <c r="I48" s="392">
        <v>0</v>
      </c>
      <c r="J48" s="392">
        <v>0</v>
      </c>
      <c r="K48" s="392">
        <v>1.2999999999999999E-2</v>
      </c>
      <c r="L48" s="392">
        <v>2.35E-2</v>
      </c>
      <c r="M48" s="392">
        <v>3.6999999999999998E-2</v>
      </c>
      <c r="N48" s="392">
        <v>0.02</v>
      </c>
      <c r="O48" s="49"/>
    </row>
    <row r="49" spans="1:15" hidden="1" x14ac:dyDescent="0.25">
      <c r="B49" s="29"/>
      <c r="C49" s="42"/>
      <c r="D49" s="43">
        <v>1</v>
      </c>
      <c r="E49" s="43">
        <v>1</v>
      </c>
      <c r="F49" s="43">
        <v>1</v>
      </c>
      <c r="G49" s="43">
        <v>1</v>
      </c>
      <c r="H49" s="43">
        <v>1</v>
      </c>
      <c r="I49" s="43">
        <v>1</v>
      </c>
      <c r="J49" s="43">
        <v>1</v>
      </c>
      <c r="K49" s="43">
        <f>J49*(1+K48)</f>
        <v>1.0129999999999999</v>
      </c>
      <c r="L49" s="43">
        <f>K49*(1+L48)</f>
        <v>1.0368055</v>
      </c>
      <c r="M49" s="43">
        <f>L49*(1+M48)</f>
        <v>1.0751673035</v>
      </c>
      <c r="N49" s="43">
        <f>M49*(1+N48)</f>
        <v>1.09667064957</v>
      </c>
      <c r="O49" s="49"/>
    </row>
    <row r="50" spans="1:15" hidden="1" x14ac:dyDescent="0.25">
      <c r="B50" s="29"/>
      <c r="C50" s="41" t="str">
        <f>IF($M$10="English",Slovnik!$D$25,Slovnik!$C$25)</f>
        <v>zdroj: aktuálně platné opatření SFDI (č.j. 154/SFDI/320096/16105/2021)</v>
      </c>
      <c r="D50" s="34"/>
      <c r="E50" s="34"/>
      <c r="F50" s="34"/>
      <c r="G50" s="34"/>
      <c r="H50" s="34"/>
      <c r="I50" s="34"/>
      <c r="J50" s="34"/>
      <c r="K50" s="34"/>
      <c r="L50" s="34"/>
      <c r="M50" s="34"/>
      <c r="N50" s="34"/>
      <c r="O50" s="49"/>
    </row>
    <row r="51" spans="1:15" ht="14.25" hidden="1" thickBot="1" x14ac:dyDescent="0.3">
      <c r="B51" s="50"/>
      <c r="C51" s="51"/>
      <c r="D51" s="51"/>
      <c r="E51" s="51"/>
      <c r="F51" s="51"/>
      <c r="G51" s="51"/>
      <c r="H51" s="51"/>
      <c r="I51" s="51"/>
      <c r="J51" s="51"/>
      <c r="K51" s="51"/>
      <c r="L51" s="51"/>
      <c r="M51" s="51"/>
      <c r="N51" s="51"/>
      <c r="O51" s="52"/>
    </row>
    <row r="52" spans="1:15" ht="14.25" thickBot="1" x14ac:dyDescent="0.3">
      <c r="C52" s="39"/>
      <c r="D52" s="22"/>
      <c r="E52" s="22"/>
      <c r="F52" s="22"/>
      <c r="G52" s="22"/>
      <c r="H52" s="22"/>
      <c r="I52" s="22"/>
      <c r="J52" s="22"/>
      <c r="K52" s="22"/>
      <c r="L52" s="22"/>
      <c r="M52" s="22"/>
      <c r="N52" s="22"/>
    </row>
    <row r="53" spans="1:15" x14ac:dyDescent="0.25">
      <c r="B53" s="26"/>
      <c r="C53" s="27"/>
      <c r="D53" s="27"/>
      <c r="E53" s="27"/>
      <c r="F53" s="27"/>
      <c r="G53" s="27"/>
      <c r="H53" s="27"/>
      <c r="I53" s="27"/>
      <c r="J53" s="27"/>
      <c r="K53" s="27"/>
      <c r="L53" s="27"/>
      <c r="M53" s="27"/>
      <c r="N53" s="27"/>
      <c r="O53" s="28"/>
    </row>
    <row r="54" spans="1:15" x14ac:dyDescent="0.25">
      <c r="B54" s="29"/>
      <c r="C54" s="225" t="str">
        <f>IF($M$10="English",Slovnik!$D$26,Slovnik!$C$26)</f>
        <v>Růst HDP na hlavu</v>
      </c>
      <c r="D54" s="226"/>
      <c r="E54" s="226"/>
      <c r="F54" s="226"/>
      <c r="G54" s="226"/>
      <c r="H54" s="226"/>
      <c r="I54" s="226"/>
      <c r="J54" s="226"/>
      <c r="K54" s="226"/>
      <c r="L54" s="226"/>
      <c r="M54" s="226"/>
      <c r="N54" s="226"/>
      <c r="O54" s="30"/>
    </row>
    <row r="55" spans="1:15" ht="14.25" thickBot="1" x14ac:dyDescent="0.3">
      <c r="B55" s="29"/>
      <c r="C55" s="34"/>
      <c r="D55" s="34"/>
      <c r="E55" s="34"/>
      <c r="F55" s="34"/>
      <c r="G55" s="34"/>
      <c r="H55" s="34"/>
      <c r="I55" s="34"/>
      <c r="J55" s="34"/>
      <c r="K55" s="34"/>
      <c r="L55" s="34"/>
      <c r="M55" s="34"/>
      <c r="N55" s="34"/>
      <c r="O55" s="30"/>
    </row>
    <row r="56" spans="1:15" x14ac:dyDescent="0.25">
      <c r="A56" s="18" t="s">
        <v>2</v>
      </c>
      <c r="B56" s="29"/>
      <c r="C56" s="53" t="str">
        <f>IF($M$10="English",Slovnik!$D$22,Slovnik!$C$22)</f>
        <v>rok</v>
      </c>
      <c r="D56" s="53">
        <v>2014</v>
      </c>
      <c r="E56" s="53">
        <v>2015</v>
      </c>
      <c r="F56" s="53">
        <v>2016</v>
      </c>
      <c r="G56" s="53">
        <v>2017</v>
      </c>
      <c r="H56" s="53">
        <v>2018</v>
      </c>
      <c r="I56" s="53">
        <v>2019</v>
      </c>
      <c r="J56" s="53">
        <v>2020</v>
      </c>
      <c r="K56" s="53">
        <v>2021</v>
      </c>
      <c r="L56" s="53">
        <v>2022</v>
      </c>
      <c r="M56" s="53">
        <v>2023</v>
      </c>
      <c r="N56" s="53">
        <v>2024</v>
      </c>
      <c r="O56" s="48" t="s">
        <v>1</v>
      </c>
    </row>
    <row r="57" spans="1:15" ht="14.25" thickBot="1" x14ac:dyDescent="0.3">
      <c r="B57" s="29"/>
      <c r="C57" s="54" t="str">
        <f>IF($M$10="English",Slovnik!$D$27,Slovnik!$C$27)</f>
        <v>růst HDP</v>
      </c>
      <c r="D57" s="509">
        <v>2.3E-2</v>
      </c>
      <c r="E57" s="509">
        <v>5.5E-2</v>
      </c>
      <c r="F57" s="509">
        <v>2.5000000000000001E-2</v>
      </c>
      <c r="G57" s="509">
        <v>5.2999999999999999E-2</v>
      </c>
      <c r="H57" s="509">
        <v>3.2000000000000001E-2</v>
      </c>
      <c r="I57" s="509">
        <v>0.03</v>
      </c>
      <c r="J57" s="509">
        <v>-5.5E-2</v>
      </c>
      <c r="K57" s="509">
        <v>3.5000000000000003E-2</v>
      </c>
      <c r="L57" s="509">
        <v>2.4E-2</v>
      </c>
      <c r="M57" s="509">
        <v>-5.0000000000000001E-3</v>
      </c>
      <c r="N57" s="509">
        <v>6.0000000000000001E-3</v>
      </c>
      <c r="O57" s="55"/>
    </row>
    <row r="58" spans="1:15" x14ac:dyDescent="0.25">
      <c r="B58" s="29"/>
      <c r="C58" s="34"/>
      <c r="D58" s="47"/>
      <c r="E58" s="47"/>
      <c r="F58" s="47"/>
      <c r="G58" s="47"/>
      <c r="H58" s="47"/>
      <c r="I58" s="47"/>
      <c r="J58" s="47"/>
      <c r="K58" s="40"/>
      <c r="L58" s="40"/>
      <c r="M58" s="40"/>
      <c r="N58" s="40"/>
      <c r="O58" s="55"/>
    </row>
    <row r="59" spans="1:15" x14ac:dyDescent="0.25">
      <c r="B59" s="29"/>
      <c r="C59" s="41" t="s">
        <v>1592</v>
      </c>
      <c r="D59" s="34"/>
      <c r="E59" s="34"/>
      <c r="F59" s="34"/>
      <c r="G59" s="34"/>
      <c r="H59" s="34"/>
      <c r="I59" s="34"/>
      <c r="J59" s="34"/>
      <c r="K59" s="34"/>
      <c r="L59" s="34"/>
      <c r="M59" s="34"/>
      <c r="N59" s="34"/>
      <c r="O59" s="55"/>
    </row>
    <row r="60" spans="1:15" ht="14.25" thickBot="1" x14ac:dyDescent="0.3">
      <c r="B60" s="50"/>
      <c r="C60" s="51"/>
      <c r="D60" s="51"/>
      <c r="E60" s="51"/>
      <c r="F60" s="51"/>
      <c r="G60" s="51"/>
      <c r="H60" s="51"/>
      <c r="I60" s="51"/>
      <c r="J60" s="51"/>
      <c r="K60" s="51"/>
      <c r="L60" s="51"/>
      <c r="M60" s="51"/>
      <c r="N60" s="51"/>
      <c r="O60" s="52"/>
    </row>
    <row r="61" spans="1:15" x14ac:dyDescent="0.25">
      <c r="C61" s="22"/>
      <c r="D61" s="22"/>
      <c r="E61" s="22"/>
      <c r="F61" s="22"/>
      <c r="G61" s="22"/>
      <c r="H61" s="22"/>
      <c r="I61" s="22"/>
      <c r="J61" s="22"/>
      <c r="K61" s="22"/>
      <c r="L61" s="22"/>
      <c r="M61" s="22"/>
      <c r="N61" s="22"/>
    </row>
    <row r="62" spans="1:15" hidden="1" x14ac:dyDescent="0.25">
      <c r="B62" s="26"/>
      <c r="C62" s="27"/>
      <c r="D62" s="27"/>
      <c r="E62" s="27"/>
      <c r="F62" s="27"/>
      <c r="G62" s="27"/>
      <c r="H62" s="27"/>
      <c r="I62" s="27"/>
      <c r="J62" s="27"/>
      <c r="K62" s="27"/>
      <c r="L62" s="27"/>
      <c r="M62" s="27"/>
      <c r="N62" s="27"/>
      <c r="O62" s="28"/>
    </row>
    <row r="63" spans="1:15" hidden="1" x14ac:dyDescent="0.25">
      <c r="B63" s="29"/>
      <c r="C63" s="225" t="str">
        <f>IF($M$10="English",Slovnik!$D$28,Slovnik!$C$28)</f>
        <v>Růst reálných mezd</v>
      </c>
      <c r="D63" s="226"/>
      <c r="E63" s="226"/>
      <c r="F63" s="226"/>
      <c r="G63" s="226"/>
      <c r="H63" s="226"/>
      <c r="I63" s="226"/>
      <c r="J63" s="226"/>
      <c r="K63" s="226"/>
      <c r="L63" s="226"/>
      <c r="M63" s="226"/>
      <c r="N63" s="226"/>
      <c r="O63" s="30"/>
    </row>
    <row r="64" spans="1:15" ht="14.25" hidden="1" thickBot="1" x14ac:dyDescent="0.3">
      <c r="B64" s="29"/>
      <c r="C64" s="34"/>
      <c r="D64" s="34"/>
      <c r="E64" s="34"/>
      <c r="F64" s="34"/>
      <c r="G64" s="34"/>
      <c r="H64" s="34"/>
      <c r="I64" s="34"/>
      <c r="J64" s="34"/>
      <c r="K64" s="34"/>
      <c r="L64" s="34"/>
      <c r="M64" s="34"/>
      <c r="N64" s="34"/>
      <c r="O64" s="30"/>
    </row>
    <row r="65" spans="1:15" hidden="1" x14ac:dyDescent="0.25">
      <c r="A65" s="18" t="s">
        <v>2</v>
      </c>
      <c r="B65" s="29"/>
      <c r="C65" s="53" t="str">
        <f>IF($M$10="English",Slovnik!$D$22,Slovnik!$C$22)</f>
        <v>rok</v>
      </c>
      <c r="D65" s="53">
        <v>2012</v>
      </c>
      <c r="E65" s="53">
        <v>2013</v>
      </c>
      <c r="F65" s="53">
        <v>2014</v>
      </c>
      <c r="G65" s="53">
        <v>2015</v>
      </c>
      <c r="H65" s="53">
        <v>2016</v>
      </c>
      <c r="I65" s="53">
        <v>2017</v>
      </c>
      <c r="J65" s="53">
        <v>2018</v>
      </c>
      <c r="K65" s="53">
        <v>2019</v>
      </c>
      <c r="L65" s="53">
        <v>2020</v>
      </c>
      <c r="M65" s="53">
        <v>2021</v>
      </c>
      <c r="N65" s="53">
        <v>2022</v>
      </c>
      <c r="O65" s="48" t="s">
        <v>1</v>
      </c>
    </row>
    <row r="66" spans="1:15" ht="14.25" hidden="1" thickBot="1" x14ac:dyDescent="0.3">
      <c r="B66" s="29"/>
      <c r="C66" s="54" t="str">
        <f>IF($M$10="English",Slovnik!$D$29,Slovnik!$C$29)</f>
        <v>růst mezd</v>
      </c>
      <c r="D66" s="392">
        <v>-8.0000000000000002E-3</v>
      </c>
      <c r="E66" s="392">
        <v>-1.6E-2</v>
      </c>
      <c r="F66" s="392">
        <v>2.5999999999999999E-2</v>
      </c>
      <c r="G66" s="392">
        <v>2.8000000000000001E-2</v>
      </c>
      <c r="H66" s="392">
        <v>3.7999999999999999E-2</v>
      </c>
      <c r="I66" s="392">
        <v>4.2999999999999997E-2</v>
      </c>
      <c r="J66" s="392">
        <v>0.06</v>
      </c>
      <c r="K66" s="392">
        <v>0.05</v>
      </c>
      <c r="L66" s="392">
        <v>0</v>
      </c>
      <c r="M66" s="392">
        <v>2.4E-2</v>
      </c>
      <c r="N66" s="392">
        <v>-1.7999999999999999E-2</v>
      </c>
      <c r="O66" s="55"/>
    </row>
    <row r="67" spans="1:15" hidden="1" x14ac:dyDescent="0.25">
      <c r="B67" s="29"/>
      <c r="C67" s="34"/>
      <c r="D67" s="43">
        <v>1</v>
      </c>
      <c r="E67" s="43">
        <v>1</v>
      </c>
      <c r="F67" s="43">
        <v>1</v>
      </c>
      <c r="G67" s="43">
        <v>1</v>
      </c>
      <c r="H67" s="43">
        <v>1</v>
      </c>
      <c r="I67" s="43">
        <v>1</v>
      </c>
      <c r="J67" s="43">
        <v>1</v>
      </c>
      <c r="K67" s="43">
        <f>J67*(1+K66*'4 PN infrastruktury'!$D$104)</f>
        <v>1.05</v>
      </c>
      <c r="L67" s="43">
        <f>K67*(1+L66*'4 PN infrastruktury'!$D$104)</f>
        <v>1.05</v>
      </c>
      <c r="M67" s="43">
        <f>L67*(1+M66*'4 PN infrastruktury'!$D$104)</f>
        <v>1.0752000000000002</v>
      </c>
      <c r="N67" s="43">
        <f>M67*(1+N66*'4 PN infrastruktury'!$D$104)</f>
        <v>1.0558464000000001</v>
      </c>
      <c r="O67" s="55"/>
    </row>
    <row r="68" spans="1:15" hidden="1" x14ac:dyDescent="0.25">
      <c r="B68" s="29"/>
      <c r="C68" s="41" t="str">
        <f>IF($M$10="English",Slovnik!$E$25,Slovnik!$E$24)</f>
        <v>zdroj: Rezortní metodika pro hodnocení ekonomické efektivnosti projektů dopravních staveb (MD ČR, 2017); ČNB (Zpráva o měnové politice - zima 2022)</v>
      </c>
      <c r="D68" s="34"/>
      <c r="E68" s="34"/>
      <c r="F68" s="34"/>
      <c r="G68" s="34"/>
      <c r="H68" s="34"/>
      <c r="I68" s="34"/>
      <c r="J68" s="34"/>
      <c r="K68" s="34"/>
      <c r="L68" s="34"/>
      <c r="M68" s="34"/>
      <c r="N68" s="34"/>
      <c r="O68" s="55"/>
    </row>
    <row r="69" spans="1:15" ht="14.25" hidden="1" thickBot="1" x14ac:dyDescent="0.3">
      <c r="B69" s="50"/>
      <c r="C69" s="51"/>
      <c r="D69" s="51"/>
      <c r="E69" s="51"/>
      <c r="F69" s="51"/>
      <c r="G69" s="51"/>
      <c r="H69" s="51"/>
      <c r="I69" s="51"/>
      <c r="J69" s="51"/>
      <c r="K69" s="51"/>
      <c r="L69" s="51"/>
      <c r="M69" s="51"/>
      <c r="N69" s="51"/>
      <c r="O69" s="52"/>
    </row>
    <row r="70" spans="1:15" hidden="1" x14ac:dyDescent="0.25"/>
    <row r="71" spans="1:15" x14ac:dyDescent="0.25">
      <c r="C71" s="46" t="s">
        <v>1593</v>
      </c>
    </row>
    <row r="72" spans="1:15" ht="14.25" thickBot="1" x14ac:dyDescent="0.3">
      <c r="A72" s="23"/>
    </row>
    <row r="73" spans="1:15" x14ac:dyDescent="0.25">
      <c r="B73" s="56"/>
      <c r="C73" s="57"/>
      <c r="D73" s="57"/>
      <c r="E73" s="57"/>
      <c r="F73" s="57"/>
      <c r="G73" s="58"/>
      <c r="H73" s="58"/>
      <c r="I73" s="58"/>
      <c r="J73" s="58"/>
      <c r="K73" s="57"/>
      <c r="L73" s="58"/>
      <c r="M73" s="57"/>
      <c r="N73" s="57"/>
      <c r="O73" s="59"/>
    </row>
    <row r="74" spans="1:15" x14ac:dyDescent="0.25">
      <c r="B74" s="60"/>
      <c r="C74" s="61" t="s">
        <v>122</v>
      </c>
      <c r="D74" s="21"/>
      <c r="E74" s="21"/>
      <c r="F74" s="1738" t="s">
        <v>1591</v>
      </c>
      <c r="G74" s="21"/>
      <c r="H74" s="21"/>
      <c r="I74" s="21"/>
      <c r="J74" s="21"/>
      <c r="K74" s="21"/>
      <c r="L74" s="21"/>
      <c r="M74" s="21"/>
      <c r="N74" s="21"/>
      <c r="O74" s="62"/>
    </row>
    <row r="75" spans="1:15" x14ac:dyDescent="0.25">
      <c r="B75" s="60"/>
      <c r="C75" s="61"/>
      <c r="D75" s="21"/>
      <c r="E75" s="21"/>
      <c r="F75" s="21"/>
      <c r="G75" s="21"/>
      <c r="H75" s="21"/>
      <c r="I75" s="21"/>
      <c r="J75" s="21"/>
      <c r="K75" s="21"/>
      <c r="L75" s="21"/>
      <c r="M75" s="21"/>
      <c r="N75" s="21"/>
      <c r="O75" s="62"/>
    </row>
    <row r="76" spans="1:15" x14ac:dyDescent="0.25">
      <c r="B76" s="60"/>
      <c r="C76" s="61"/>
      <c r="D76" s="21"/>
      <c r="E76" s="21"/>
      <c r="F76" s="21"/>
      <c r="G76" s="21"/>
      <c r="H76" s="21"/>
      <c r="I76" s="21"/>
      <c r="J76" s="21"/>
      <c r="K76" s="21"/>
      <c r="L76" s="21"/>
      <c r="M76" s="21"/>
      <c r="N76" s="21"/>
      <c r="O76" s="62"/>
    </row>
    <row r="77" spans="1:15" x14ac:dyDescent="0.25">
      <c r="B77" s="60"/>
      <c r="C77" s="61"/>
      <c r="D77" s="21"/>
      <c r="E77" s="21"/>
      <c r="F77" s="21"/>
      <c r="G77" s="21"/>
      <c r="H77" s="21"/>
      <c r="I77" s="21"/>
      <c r="J77" s="21"/>
      <c r="K77" s="21"/>
      <c r="L77" s="21"/>
      <c r="M77" s="21"/>
      <c r="N77" s="21"/>
      <c r="O77" s="62"/>
    </row>
    <row r="78" spans="1:15" x14ac:dyDescent="0.25">
      <c r="B78" s="60"/>
      <c r="C78" s="61"/>
      <c r="D78" s="21"/>
      <c r="E78" s="21"/>
      <c r="F78" s="21"/>
      <c r="G78" s="21"/>
      <c r="H78" s="21"/>
      <c r="I78" s="21"/>
      <c r="J78" s="21"/>
      <c r="K78" s="21"/>
      <c r="L78" s="21"/>
      <c r="M78" s="21"/>
      <c r="N78" s="21"/>
      <c r="O78" s="62"/>
    </row>
    <row r="79" spans="1:15" x14ac:dyDescent="0.25">
      <c r="B79" s="60"/>
      <c r="C79" s="1790"/>
      <c r="D79" s="1790"/>
      <c r="E79" s="1790"/>
      <c r="F79" s="1790"/>
      <c r="G79" s="1790"/>
      <c r="H79" s="1790"/>
      <c r="I79" s="1790"/>
      <c r="J79" s="1790"/>
      <c r="K79" s="1790"/>
      <c r="L79" s="1790"/>
      <c r="M79" s="1790"/>
      <c r="N79" s="1790"/>
      <c r="O79" s="1791"/>
    </row>
    <row r="80" spans="1:15" x14ac:dyDescent="0.25">
      <c r="B80" s="60"/>
      <c r="C80" s="1790"/>
      <c r="D80" s="1790"/>
      <c r="E80" s="1790"/>
      <c r="F80" s="1790"/>
      <c r="G80" s="1790"/>
      <c r="H80" s="1790"/>
      <c r="I80" s="1790"/>
      <c r="J80" s="1790"/>
      <c r="K80" s="1790"/>
      <c r="L80" s="1790"/>
      <c r="M80" s="1790"/>
      <c r="N80" s="1790"/>
      <c r="O80" s="1791"/>
    </row>
    <row r="81" spans="2:46" ht="14.25" thickBot="1" x14ac:dyDescent="0.3">
      <c r="B81" s="63"/>
      <c r="C81" s="424"/>
      <c r="D81" s="64"/>
      <c r="E81" s="64"/>
      <c r="F81" s="64"/>
      <c r="G81" s="64"/>
      <c r="H81" s="64"/>
      <c r="I81" s="64"/>
      <c r="J81" s="64"/>
      <c r="K81" s="64"/>
      <c r="L81" s="64"/>
      <c r="M81" s="64"/>
      <c r="N81" s="64"/>
      <c r="O81" s="65"/>
    </row>
    <row r="83" spans="2:46" hidden="1" x14ac:dyDescent="0.25">
      <c r="B83" s="389" t="s">
        <v>1438</v>
      </c>
      <c r="C83" s="389"/>
    </row>
    <row r="84" spans="2:46" hidden="1" x14ac:dyDescent="0.25">
      <c r="C84" s="389"/>
    </row>
    <row r="85" spans="2:46" hidden="1" x14ac:dyDescent="0.25">
      <c r="B85" s="18">
        <v>2021</v>
      </c>
      <c r="C85" s="18">
        <v>2022</v>
      </c>
      <c r="D85" s="18">
        <v>2023</v>
      </c>
      <c r="E85" s="18">
        <v>2024</v>
      </c>
      <c r="F85" s="18">
        <v>2025</v>
      </c>
      <c r="G85" s="18">
        <v>2026</v>
      </c>
      <c r="H85" s="18">
        <v>2027</v>
      </c>
      <c r="I85" s="18">
        <v>2028</v>
      </c>
      <c r="J85" s="18">
        <v>2029</v>
      </c>
      <c r="K85" s="18">
        <v>2030</v>
      </c>
    </row>
    <row r="86" spans="2:46" hidden="1" x14ac:dyDescent="0.25"/>
    <row r="87" spans="2:46" hidden="1" x14ac:dyDescent="0.25"/>
    <row r="88" spans="2:46" hidden="1" x14ac:dyDescent="0.25"/>
    <row r="89" spans="2:46" hidden="1" x14ac:dyDescent="0.25">
      <c r="D89" s="18" t="s">
        <v>1411</v>
      </c>
    </row>
    <row r="90" spans="2:46" hidden="1" x14ac:dyDescent="0.25">
      <c r="D90" s="18">
        <v>2018</v>
      </c>
      <c r="E90" s="18">
        <v>2019</v>
      </c>
      <c r="F90" s="18">
        <v>2020</v>
      </c>
      <c r="G90" s="18">
        <v>2021</v>
      </c>
      <c r="H90" s="18">
        <v>2022</v>
      </c>
      <c r="I90" s="18">
        <v>2023</v>
      </c>
      <c r="J90" s="18">
        <v>2024</v>
      </c>
      <c r="K90" s="18">
        <v>2025</v>
      </c>
      <c r="L90" s="18">
        <v>2026</v>
      </c>
      <c r="M90" s="18">
        <v>2027</v>
      </c>
      <c r="N90" s="18">
        <f>1+M90</f>
        <v>2028</v>
      </c>
      <c r="O90" s="18">
        <f t="shared" ref="O90:AT90" si="0">1+N90</f>
        <v>2029</v>
      </c>
      <c r="P90" s="18">
        <f t="shared" si="0"/>
        <v>2030</v>
      </c>
      <c r="Q90" s="18">
        <f t="shared" si="0"/>
        <v>2031</v>
      </c>
      <c r="R90" s="18">
        <f t="shared" si="0"/>
        <v>2032</v>
      </c>
      <c r="S90" s="18">
        <f t="shared" si="0"/>
        <v>2033</v>
      </c>
      <c r="T90" s="18">
        <f t="shared" si="0"/>
        <v>2034</v>
      </c>
      <c r="U90" s="18">
        <f t="shared" si="0"/>
        <v>2035</v>
      </c>
      <c r="V90" s="18">
        <f t="shared" si="0"/>
        <v>2036</v>
      </c>
      <c r="W90" s="18">
        <f t="shared" si="0"/>
        <v>2037</v>
      </c>
      <c r="X90" s="18">
        <f t="shared" si="0"/>
        <v>2038</v>
      </c>
      <c r="Y90" s="18">
        <f t="shared" si="0"/>
        <v>2039</v>
      </c>
      <c r="Z90" s="18">
        <f t="shared" si="0"/>
        <v>2040</v>
      </c>
      <c r="AA90" s="18">
        <f t="shared" si="0"/>
        <v>2041</v>
      </c>
      <c r="AB90" s="18">
        <f t="shared" si="0"/>
        <v>2042</v>
      </c>
      <c r="AC90" s="18">
        <f t="shared" si="0"/>
        <v>2043</v>
      </c>
      <c r="AD90" s="18">
        <f t="shared" si="0"/>
        <v>2044</v>
      </c>
      <c r="AE90" s="18">
        <f t="shared" si="0"/>
        <v>2045</v>
      </c>
      <c r="AF90" s="18">
        <f t="shared" si="0"/>
        <v>2046</v>
      </c>
      <c r="AG90" s="18">
        <f t="shared" si="0"/>
        <v>2047</v>
      </c>
      <c r="AH90" s="18">
        <f t="shared" si="0"/>
        <v>2048</v>
      </c>
      <c r="AI90" s="18">
        <f t="shared" si="0"/>
        <v>2049</v>
      </c>
      <c r="AJ90" s="18">
        <f t="shared" si="0"/>
        <v>2050</v>
      </c>
      <c r="AK90" s="18">
        <f t="shared" si="0"/>
        <v>2051</v>
      </c>
      <c r="AL90" s="18">
        <f t="shared" si="0"/>
        <v>2052</v>
      </c>
      <c r="AM90" s="18">
        <f t="shared" si="0"/>
        <v>2053</v>
      </c>
      <c r="AN90" s="18">
        <f t="shared" si="0"/>
        <v>2054</v>
      </c>
      <c r="AO90" s="18">
        <f t="shared" si="0"/>
        <v>2055</v>
      </c>
      <c r="AP90" s="18">
        <f t="shared" si="0"/>
        <v>2056</v>
      </c>
      <c r="AQ90" s="18">
        <f t="shared" si="0"/>
        <v>2057</v>
      </c>
      <c r="AR90" s="18">
        <f t="shared" si="0"/>
        <v>2058</v>
      </c>
      <c r="AS90" s="18">
        <f t="shared" si="0"/>
        <v>2059</v>
      </c>
      <c r="AT90" s="18">
        <f t="shared" si="0"/>
        <v>2060</v>
      </c>
    </row>
    <row r="91" spans="2:46" hidden="1" x14ac:dyDescent="0.25">
      <c r="B91" s="18" t="s">
        <v>104</v>
      </c>
      <c r="D91" s="1740">
        <f>1+H41</f>
        <v>1.0209999999999999</v>
      </c>
      <c r="E91" s="1740">
        <f t="shared" ref="E91:J91" si="1">1+I41</f>
        <v>1.028</v>
      </c>
      <c r="F91" s="1740">
        <f t="shared" si="1"/>
        <v>1.032</v>
      </c>
      <c r="G91" s="1740">
        <f t="shared" si="1"/>
        <v>1.038</v>
      </c>
      <c r="H91" s="1740">
        <f t="shared" si="1"/>
        <v>1.151</v>
      </c>
      <c r="I91" s="1740">
        <f t="shared" si="1"/>
        <v>1.107</v>
      </c>
      <c r="J91" s="1740">
        <f t="shared" si="1"/>
        <v>1.026</v>
      </c>
      <c r="K91" s="1740">
        <f>1+0.0349</f>
        <v>1.0348999999999999</v>
      </c>
      <c r="L91" s="1740">
        <f t="shared" ref="L91:M91" si="2">1+0.0349</f>
        <v>1.0348999999999999</v>
      </c>
      <c r="M91" s="1740">
        <f t="shared" si="2"/>
        <v>1.0348999999999999</v>
      </c>
    </row>
    <row r="92" spans="2:46" hidden="1" x14ac:dyDescent="0.25">
      <c r="B92" s="18" t="s">
        <v>1410</v>
      </c>
      <c r="C92" s="18">
        <v>0.41</v>
      </c>
      <c r="D92" s="1740">
        <f>(1+$C92*H$57)</f>
        <v>1.01312</v>
      </c>
      <c r="E92" s="1740">
        <f t="shared" ref="E92:J92" si="3">(1+$C92*I$57)</f>
        <v>1.0123</v>
      </c>
      <c r="F92" s="1740">
        <f t="shared" si="3"/>
        <v>0.97745000000000004</v>
      </c>
      <c r="G92" s="1740">
        <f t="shared" si="3"/>
        <v>1.0143500000000001</v>
      </c>
      <c r="H92" s="1740">
        <f t="shared" si="3"/>
        <v>1.0098400000000001</v>
      </c>
      <c r="I92" s="1740">
        <f t="shared" si="3"/>
        <v>0.99795</v>
      </c>
      <c r="J92" s="1740">
        <f t="shared" si="3"/>
        <v>1.0024599999999999</v>
      </c>
      <c r="K92" s="1740">
        <f t="shared" ref="K92:L93" si="4">(1+$C92*0.0171)</f>
        <v>1.0070110000000001</v>
      </c>
      <c r="L92" s="1740">
        <f t="shared" si="4"/>
        <v>1.0070110000000001</v>
      </c>
      <c r="M92" s="1740">
        <f>(1+$C92*0.0171)</f>
        <v>1.0070110000000001</v>
      </c>
    </row>
    <row r="93" spans="2:46" hidden="1" x14ac:dyDescent="0.25">
      <c r="B93" s="18" t="s">
        <v>1410</v>
      </c>
      <c r="C93" s="18">
        <v>0.7</v>
      </c>
      <c r="D93" s="1740">
        <f>(1+$C93*H$57)</f>
        <v>1.0224</v>
      </c>
      <c r="E93" s="1740">
        <f t="shared" ref="E93" si="5">(1+$C93*I$57)</f>
        <v>1.0209999999999999</v>
      </c>
      <c r="F93" s="1740">
        <f t="shared" ref="F93" si="6">(1+$C93*J$57)</f>
        <v>0.96150000000000002</v>
      </c>
      <c r="G93" s="1740">
        <f t="shared" ref="G93" si="7">(1+$C93*K$57)</f>
        <v>1.0245</v>
      </c>
      <c r="H93" s="1740">
        <f t="shared" ref="H93" si="8">(1+$C93*L$57)</f>
        <v>1.0167999999999999</v>
      </c>
      <c r="I93" s="1740">
        <f t="shared" ref="I93" si="9">(1+$C93*M$57)</f>
        <v>0.99650000000000005</v>
      </c>
      <c r="J93" s="1740">
        <f t="shared" ref="J93" si="10">(1+$C93*N$57)</f>
        <v>1.0042</v>
      </c>
      <c r="K93" s="1740">
        <f t="shared" si="4"/>
        <v>1.01197</v>
      </c>
      <c r="L93" s="1740">
        <f t="shared" si="4"/>
        <v>1.01197</v>
      </c>
      <c r="M93" s="1740">
        <f>(1+$C93*0.0171)</f>
        <v>1.01197</v>
      </c>
    </row>
    <row r="94" spans="2:46" hidden="1" x14ac:dyDescent="0.25">
      <c r="D94" s="579"/>
      <c r="E94" s="579"/>
      <c r="F94" s="579"/>
      <c r="G94" s="579"/>
      <c r="H94" s="579"/>
      <c r="I94" s="579"/>
      <c r="J94" s="579"/>
      <c r="K94" s="579"/>
      <c r="L94" s="579"/>
      <c r="M94" s="579"/>
    </row>
    <row r="95" spans="2:46" hidden="1" x14ac:dyDescent="0.25">
      <c r="B95" s="18" t="s">
        <v>1439</v>
      </c>
      <c r="D95" s="579">
        <f>D91*D92</f>
        <v>1.0343955199999999</v>
      </c>
      <c r="E95" s="579">
        <f>E91*E92*D95</f>
        <v>1.0764379052730879</v>
      </c>
      <c r="F95" s="579">
        <f t="shared" ref="F95:M95" si="11">F91*F92*E95</f>
        <v>1.0858334858854737</v>
      </c>
      <c r="G95" s="579">
        <f t="shared" si="11"/>
        <v>1.1432689738714317</v>
      </c>
      <c r="H95" s="579">
        <f t="shared" si="11"/>
        <v>1.3288510704010499</v>
      </c>
      <c r="I95" s="579">
        <f t="shared" si="11"/>
        <v>1.4680225067573476</v>
      </c>
      <c r="J95" s="579">
        <f t="shared" si="11"/>
        <v>1.5098963220191939</v>
      </c>
      <c r="K95" s="579">
        <f t="shared" si="11"/>
        <v>1.5735470340920079</v>
      </c>
      <c r="L95" s="579">
        <f t="shared" si="11"/>
        <v>1.6398809854629732</v>
      </c>
      <c r="M95" s="579">
        <f t="shared" si="11"/>
        <v>1.7090112899197711</v>
      </c>
    </row>
    <row r="96" spans="2:46" hidden="1" x14ac:dyDescent="0.25">
      <c r="B96" s="18" t="s">
        <v>1440</v>
      </c>
      <c r="D96" s="579">
        <f>D91*D93</f>
        <v>1.0438703999999999</v>
      </c>
      <c r="E96" s="579">
        <f>E91*E93*D96</f>
        <v>1.0956338453951999</v>
      </c>
      <c r="F96" s="579">
        <f t="shared" ref="F96:M96" si="12">F91*F93*E96</f>
        <v>1.0871624045026043</v>
      </c>
      <c r="G96" s="579">
        <f t="shared" si="12"/>
        <v>1.156122202982609</v>
      </c>
      <c r="H96" s="579">
        <f t="shared" si="12"/>
        <v>1.3530523594476169</v>
      </c>
      <c r="I96" s="579">
        <f t="shared" si="12"/>
        <v>1.492586560541832</v>
      </c>
      <c r="J96" s="579">
        <f t="shared" si="12"/>
        <v>1.5378256651226065</v>
      </c>
      <c r="K96" s="579">
        <f t="shared" si="12"/>
        <v>1.610545985331985</v>
      </c>
      <c r="L96" s="579">
        <f t="shared" si="12"/>
        <v>1.6867050860815056</v>
      </c>
      <c r="M96" s="579">
        <f t="shared" si="12"/>
        <v>1.7664655795759716</v>
      </c>
    </row>
    <row r="97" spans="2:46" hidden="1" x14ac:dyDescent="0.25">
      <c r="B97" s="18" t="s">
        <v>1441</v>
      </c>
      <c r="D97" s="579">
        <f>D91</f>
        <v>1.0209999999999999</v>
      </c>
      <c r="E97" s="579">
        <f>D97*E91</f>
        <v>1.049588</v>
      </c>
      <c r="F97" s="579">
        <f t="shared" ref="F97:M97" si="13">E97*F91</f>
        <v>1.0831748160000001</v>
      </c>
      <c r="G97" s="579">
        <f t="shared" si="13"/>
        <v>1.1243354590080001</v>
      </c>
      <c r="H97" s="579">
        <f t="shared" si="13"/>
        <v>1.2941101133182082</v>
      </c>
      <c r="I97" s="579">
        <f t="shared" si="13"/>
        <v>1.4325798954432565</v>
      </c>
      <c r="J97" s="579">
        <f t="shared" si="13"/>
        <v>1.4698269727247812</v>
      </c>
      <c r="K97" s="579">
        <f t="shared" si="13"/>
        <v>1.5211239340728759</v>
      </c>
      <c r="L97" s="579">
        <f t="shared" si="13"/>
        <v>1.5742111593720192</v>
      </c>
      <c r="M97" s="579">
        <f t="shared" si="13"/>
        <v>1.6291511288341025</v>
      </c>
    </row>
    <row r="98" spans="2:46" hidden="1" x14ac:dyDescent="0.25">
      <c r="B98" s="18" t="s">
        <v>1590</v>
      </c>
      <c r="D98" s="579"/>
      <c r="E98" s="579"/>
      <c r="F98" s="579"/>
      <c r="G98" s="1722"/>
      <c r="H98" s="1722">
        <f>'11 Klima'!D100</f>
        <v>4758.0756657799557</v>
      </c>
      <c r="I98" s="1722">
        <f>'11 Klima'!E100</f>
        <v>5466.9194190579165</v>
      </c>
      <c r="J98" s="1722">
        <f>'11 Klima'!F100</f>
        <v>6177.2842962699488</v>
      </c>
      <c r="K98" s="1722">
        <f>'11 Klima'!G100</f>
        <v>6886.1280495479095</v>
      </c>
      <c r="L98" s="1722">
        <f>'11 Klima'!H100</f>
        <v>7596.4929267599427</v>
      </c>
      <c r="M98" s="1722">
        <f>'11 Klima'!I100</f>
        <v>8305.3366800379026</v>
      </c>
      <c r="N98" s="1722">
        <f>'11 Klima'!J100</f>
        <v>9015.7015572499349</v>
      </c>
      <c r="O98" s="1722">
        <f>'11 Klima'!K100</f>
        <v>9724.5453105278957</v>
      </c>
      <c r="P98" s="1722">
        <f>'11 Klima'!L100</f>
        <v>10434.91018773993</v>
      </c>
      <c r="Q98" s="1722">
        <f>'11 Klima'!M100</f>
        <v>11603.133369107898</v>
      </c>
      <c r="R98" s="1722">
        <f>'11 Klima'!N100</f>
        <v>12771.356550475866</v>
      </c>
      <c r="S98" s="1722">
        <f>'11 Klima'!O100</f>
        <v>13941.100855777908</v>
      </c>
      <c r="T98" s="1722">
        <f>'11 Klima'!P100</f>
        <v>15109.324037145876</v>
      </c>
      <c r="U98" s="1722">
        <f>'11 Klima'!Q100</f>
        <v>16277.547218513846</v>
      </c>
      <c r="V98" s="1722">
        <f>'11 Klima'!R100</f>
        <v>17404.700053661847</v>
      </c>
      <c r="W98" s="1722">
        <f>'11 Klima'!D103</f>
        <v>18531.852888809848</v>
      </c>
      <c r="X98" s="1722">
        <f>'11 Klima'!E103</f>
        <v>19659.005723957849</v>
      </c>
      <c r="Y98" s="1722">
        <f>'11 Klima'!F103</f>
        <v>20786.15855910585</v>
      </c>
      <c r="Z98" s="1722">
        <f>'11 Klima'!G103</f>
        <v>21911.79027031978</v>
      </c>
      <c r="AA98" s="1722">
        <f>'11 Klima'!H103</f>
        <v>23038.943105467781</v>
      </c>
      <c r="AB98" s="1722">
        <f>'11 Klima'!I103</f>
        <v>24166.095940615782</v>
      </c>
      <c r="AC98" s="1722">
        <f>'11 Klima'!J103</f>
        <v>25293.248775763783</v>
      </c>
      <c r="AD98" s="1722">
        <f>'11 Klima'!K103</f>
        <v>26420.401610911784</v>
      </c>
      <c r="AE98" s="1722">
        <f>'11 Klima'!L103</f>
        <v>27547.554446059785</v>
      </c>
      <c r="AF98" s="1722">
        <f>'11 Klima'!M103</f>
        <v>28715.777627427753</v>
      </c>
      <c r="AG98" s="1722">
        <f>'11 Klima'!N103</f>
        <v>29884.000808795721</v>
      </c>
      <c r="AH98" s="1722">
        <f>'11 Klima'!O103</f>
        <v>31052.223990163689</v>
      </c>
      <c r="AI98" s="1722">
        <f>'11 Klima'!P103</f>
        <v>32221.968295465733</v>
      </c>
      <c r="AJ98" s="1722">
        <f>'11 Klima'!Q103</f>
        <v>33390.191476833701</v>
      </c>
      <c r="AK98" s="1722">
        <f>'11 Klima'!R103</f>
        <v>33390.191476833701</v>
      </c>
      <c r="AL98" s="1722">
        <f t="shared" ref="AL98:AT98" si="14">AK98</f>
        <v>33390.191476833701</v>
      </c>
      <c r="AM98" s="1722">
        <f t="shared" si="14"/>
        <v>33390.191476833701</v>
      </c>
      <c r="AN98" s="1722">
        <f t="shared" si="14"/>
        <v>33390.191476833701</v>
      </c>
      <c r="AO98" s="1722">
        <f t="shared" si="14"/>
        <v>33390.191476833701</v>
      </c>
      <c r="AP98" s="1722">
        <f t="shared" si="14"/>
        <v>33390.191476833701</v>
      </c>
      <c r="AQ98" s="1722">
        <f t="shared" si="14"/>
        <v>33390.191476833701</v>
      </c>
      <c r="AR98" s="1722">
        <f t="shared" si="14"/>
        <v>33390.191476833701</v>
      </c>
      <c r="AS98" s="1722">
        <f t="shared" si="14"/>
        <v>33390.191476833701</v>
      </c>
      <c r="AT98" s="1722">
        <f t="shared" si="14"/>
        <v>33390.191476833701</v>
      </c>
    </row>
    <row r="99" spans="2:46" hidden="1" x14ac:dyDescent="0.25">
      <c r="D99" s="579"/>
      <c r="E99" s="579"/>
      <c r="F99" s="579"/>
      <c r="G99" s="579"/>
      <c r="H99" s="579"/>
      <c r="I99" s="579"/>
      <c r="J99" s="579"/>
      <c r="K99" s="579"/>
      <c r="L99" s="579"/>
      <c r="M99" s="579"/>
    </row>
    <row r="100" spans="2:46" hidden="1" x14ac:dyDescent="0.25">
      <c r="C100" s="1741" t="s">
        <v>1594</v>
      </c>
      <c r="D100" s="1740">
        <v>1.7100000000000001E-2</v>
      </c>
      <c r="E100" s="579"/>
      <c r="F100" s="579"/>
      <c r="G100" s="579"/>
      <c r="H100" s="579"/>
      <c r="I100" s="579"/>
      <c r="J100" s="579"/>
      <c r="K100" s="579"/>
      <c r="L100" s="579"/>
      <c r="M100" s="579"/>
    </row>
    <row r="101" spans="2:46" hidden="1" x14ac:dyDescent="0.25">
      <c r="D101" s="579"/>
      <c r="E101" s="579"/>
      <c r="F101" s="579"/>
      <c r="G101" s="579"/>
      <c r="H101" s="579"/>
      <c r="I101" s="579"/>
      <c r="J101" s="579"/>
      <c r="K101" s="579"/>
      <c r="L101" s="579"/>
      <c r="M101" s="579"/>
    </row>
    <row r="102" spans="2:46" hidden="1" x14ac:dyDescent="0.25">
      <c r="D102" s="579"/>
      <c r="E102" s="579"/>
      <c r="F102" s="579"/>
      <c r="G102" s="579"/>
      <c r="H102" s="579"/>
      <c r="I102" s="579"/>
      <c r="J102" s="579"/>
      <c r="K102" s="579"/>
      <c r="L102" s="579"/>
      <c r="M102" s="579"/>
    </row>
    <row r="103" spans="2:46" hidden="1" x14ac:dyDescent="0.25">
      <c r="D103" s="579"/>
      <c r="E103" s="579"/>
      <c r="F103" s="579"/>
      <c r="G103" s="579"/>
      <c r="H103" s="579"/>
      <c r="I103" s="579"/>
      <c r="J103" s="579"/>
      <c r="K103" s="579"/>
      <c r="L103" s="579"/>
      <c r="M103" s="579"/>
    </row>
    <row r="104" spans="2:46" hidden="1" x14ac:dyDescent="0.25"/>
    <row r="105" spans="2:46" hidden="1" x14ac:dyDescent="0.25">
      <c r="C105" s="18" t="s">
        <v>1522</v>
      </c>
    </row>
    <row r="106" spans="2:46" hidden="1" x14ac:dyDescent="0.25">
      <c r="C106" s="18" t="s">
        <v>1521</v>
      </c>
    </row>
    <row r="107" spans="2:46" hidden="1" x14ac:dyDescent="0.25">
      <c r="C107" s="18" t="s">
        <v>1531</v>
      </c>
    </row>
    <row r="108" spans="2:46" hidden="1" x14ac:dyDescent="0.25"/>
  </sheetData>
  <sheetProtection algorithmName="SHA-512" hashValue="AGz4YuK6z/2jG7sCuxiSTkOid1+RLRczEfkVmGUocoWUd0EJcfdKwzYA6WV5mV5y6o8cN9YWYTA0QS68bpqCvw==" saltValue="gBZV2cuwjVGQMyShWJKwmQ==" spinCount="100000" sheet="1" objects="1" scenarios="1"/>
  <mergeCells count="7">
    <mergeCell ref="C79:O80"/>
    <mergeCell ref="D16:N16"/>
    <mergeCell ref="C4:N9"/>
    <mergeCell ref="B26:B29"/>
    <mergeCell ref="C26:N29"/>
    <mergeCell ref="B31:B34"/>
    <mergeCell ref="C31:N34"/>
  </mergeCells>
  <phoneticPr fontId="7" type="noConversion"/>
  <dataValidations count="4">
    <dataValidation type="list" allowBlank="1" showInputMessage="1" showErrorMessage="1" sqref="G18" xr:uid="{B10697D8-A867-4EDC-BEF6-EE12BEBF8D2B}">
      <formula1>$B$85:$I$85</formula1>
    </dataValidation>
    <dataValidation type="list" allowBlank="1" showInputMessage="1" showErrorMessage="1" sqref="D18" xr:uid="{21C8F898-CC81-4FD7-A2F5-0BF140016744}">
      <formula1>$C$85:$H$85</formula1>
    </dataValidation>
    <dataValidation type="list" allowBlank="1" showInputMessage="1" showErrorMessage="1" sqref="G20" xr:uid="{2E67D625-3000-416C-A367-0B0A264E4734}">
      <formula1>$C$106:$C$107</formula1>
    </dataValidation>
    <dataValidation type="list" allowBlank="1" showInputMessage="1" showErrorMessage="1" sqref="D20" xr:uid="{9AF97BBF-855C-4E03-B848-FFA164FF2E8C}">
      <formula1>$B$85:$K$85</formula1>
    </dataValidation>
  </dataValidations>
  <pageMargins left="0.39370078740157483" right="0.78740157480314965" top="0.98425196850393704" bottom="0.98425196850393704" header="0.51181102362204722" footer="0.51181102362204722"/>
  <pageSetup paperSize="192" scale="59" orientation="landscape" r:id="rId1"/>
  <headerFooter alignWithMargins="0">
    <oddFooter>&amp;L0 Úvod&amp;C&amp;D</oddFooter>
  </headerFooter>
  <drawing r:id="rId2"/>
  <legacyDrawing r:id="rId3"/>
  <extLst>
    <ext xmlns:x14="http://schemas.microsoft.com/office/spreadsheetml/2009/9/main" uri="{CCE6A557-97BC-4b89-ADB6-D9C93CAAB3DF}">
      <x14:dataValidations xmlns:xm="http://schemas.microsoft.com/office/excel/2006/main" count="1">
        <x14:dataValidation type="list" showInputMessage="1" showErrorMessage="1" xr:uid="{00000000-0002-0000-0000-000000000000}">
          <x14:formula1>
            <xm:f>Slovnik!$C$2</xm:f>
          </x14:formula1>
          <xm:sqref>M10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ist4">
    <pageSetUpPr fitToPage="1"/>
  </sheetPr>
  <dimension ref="A1:T77"/>
  <sheetViews>
    <sheetView defaultGridColor="0" colorId="23" zoomScaleNormal="100" zoomScaleSheetLayoutView="70" workbookViewId="0">
      <selection activeCell="E5" sqref="E5:F8"/>
    </sheetView>
  </sheetViews>
  <sheetFormatPr defaultColWidth="9.140625" defaultRowHeight="11.25" x14ac:dyDescent="0.2"/>
  <cols>
    <col min="1" max="1" width="1.42578125" style="637" customWidth="1"/>
    <col min="2" max="2" width="5.7109375" style="637" customWidth="1"/>
    <col min="3" max="3" width="41.140625" style="637" customWidth="1"/>
    <col min="4" max="4" width="18.5703125" style="637" customWidth="1"/>
    <col min="5" max="9" width="13.5703125" style="637" bestFit="1" customWidth="1"/>
    <col min="10" max="10" width="10.7109375" style="672" customWidth="1"/>
    <col min="11" max="29" width="10.7109375" style="637" customWidth="1"/>
    <col min="30" max="16384" width="9.140625" style="637"/>
  </cols>
  <sheetData>
    <row r="1" spans="1:19" ht="14.25" thickBot="1" x14ac:dyDescent="0.35">
      <c r="A1" s="17"/>
      <c r="B1" s="634"/>
      <c r="C1" s="634"/>
      <c r="D1" s="635"/>
      <c r="E1" s="636"/>
      <c r="F1" s="636"/>
      <c r="G1" s="636"/>
      <c r="H1" s="636"/>
      <c r="I1" s="636"/>
      <c r="J1" s="636"/>
      <c r="K1" s="636"/>
      <c r="L1" s="636"/>
      <c r="M1" s="636"/>
      <c r="N1" s="636"/>
      <c r="O1" s="636"/>
      <c r="P1" s="636"/>
      <c r="Q1" s="636"/>
      <c r="R1" s="636"/>
      <c r="S1" s="636"/>
    </row>
    <row r="2" spans="1:19" ht="14.25" x14ac:dyDescent="0.3">
      <c r="A2" s="638"/>
      <c r="B2" s="639" t="s">
        <v>3</v>
      </c>
      <c r="C2" s="640" t="str">
        <f>IF('0 Úvod'!$M$10="English",Slovnik!$D$32,Slovnik!$C$32)</f>
        <v>Celkové investiční náklady (CZK)</v>
      </c>
      <c r="D2" s="641"/>
      <c r="E2" s="642" t="str">
        <f>IF('0 Úvod'!$M$10="English",Slovnik!$D$47,Slovnik!$C$47)</f>
        <v>V roce</v>
      </c>
      <c r="F2" s="643"/>
      <c r="G2" s="643"/>
      <c r="H2" s="643"/>
      <c r="I2" s="643"/>
      <c r="J2" s="643"/>
      <c r="K2" s="643"/>
      <c r="L2" s="643"/>
      <c r="M2" s="643"/>
      <c r="N2" s="643"/>
      <c r="O2" s="643"/>
      <c r="P2" s="643"/>
      <c r="Q2" s="643"/>
      <c r="R2" s="643"/>
      <c r="S2" s="644"/>
    </row>
    <row r="3" spans="1:19" ht="12.75" customHeight="1" x14ac:dyDescent="0.3">
      <c r="A3" s="17"/>
      <c r="B3" s="645" t="s">
        <v>4</v>
      </c>
      <c r="C3" s="646"/>
      <c r="D3" s="1822" t="str">
        <f>IF('0 Úvod'!$M$10="English",Slovnik!$D$46,Slovnik!$C$46)</f>
        <v>Celkové projektové náklady</v>
      </c>
      <c r="E3" s="647">
        <f>'0 Úvod'!G18</f>
        <v>2026</v>
      </c>
      <c r="F3" s="648">
        <f>E3+1</f>
        <v>2027</v>
      </c>
      <c r="G3" s="648">
        <f t="shared" ref="G3:S3" si="0">F3+1</f>
        <v>2028</v>
      </c>
      <c r="H3" s="648">
        <f t="shared" si="0"/>
        <v>2029</v>
      </c>
      <c r="I3" s="648">
        <f t="shared" si="0"/>
        <v>2030</v>
      </c>
      <c r="J3" s="648">
        <f t="shared" si="0"/>
        <v>2031</v>
      </c>
      <c r="K3" s="648">
        <f t="shared" si="0"/>
        <v>2032</v>
      </c>
      <c r="L3" s="648">
        <f t="shared" si="0"/>
        <v>2033</v>
      </c>
      <c r="M3" s="648">
        <f t="shared" si="0"/>
        <v>2034</v>
      </c>
      <c r="N3" s="648">
        <f t="shared" si="0"/>
        <v>2035</v>
      </c>
      <c r="O3" s="648">
        <f t="shared" si="0"/>
        <v>2036</v>
      </c>
      <c r="P3" s="648">
        <f t="shared" si="0"/>
        <v>2037</v>
      </c>
      <c r="Q3" s="648">
        <f t="shared" si="0"/>
        <v>2038</v>
      </c>
      <c r="R3" s="648">
        <f t="shared" si="0"/>
        <v>2039</v>
      </c>
      <c r="S3" s="649">
        <f t="shared" si="0"/>
        <v>2040</v>
      </c>
    </row>
    <row r="4" spans="1:19" ht="12.75" customHeight="1" thickBot="1" x14ac:dyDescent="0.35">
      <c r="A4" s="17"/>
      <c r="B4" s="650"/>
      <c r="C4" s="651"/>
      <c r="D4" s="1823"/>
      <c r="E4" s="652"/>
      <c r="F4" s="652"/>
      <c r="G4" s="652"/>
      <c r="H4" s="652"/>
      <c r="I4" s="652"/>
      <c r="J4" s="652"/>
      <c r="K4" s="652"/>
      <c r="L4" s="652"/>
      <c r="M4" s="652"/>
      <c r="N4" s="652"/>
      <c r="O4" s="652"/>
      <c r="P4" s="652"/>
      <c r="Q4" s="652"/>
      <c r="R4" s="652"/>
      <c r="S4" s="653"/>
    </row>
    <row r="5" spans="1:19" ht="14.25" x14ac:dyDescent="0.3">
      <c r="A5" s="17"/>
      <c r="B5" s="654" t="s">
        <v>1544</v>
      </c>
      <c r="C5" s="655" t="s">
        <v>1587</v>
      </c>
      <c r="D5" s="656">
        <f>SUM(E5:S5)</f>
        <v>0</v>
      </c>
      <c r="E5" s="14"/>
      <c r="F5" s="14"/>
      <c r="G5" s="14"/>
      <c r="H5" s="14"/>
      <c r="I5" s="14"/>
      <c r="J5" s="14"/>
      <c r="K5" s="14"/>
      <c r="L5" s="14"/>
      <c r="M5" s="14"/>
      <c r="N5" s="14"/>
      <c r="O5" s="14"/>
      <c r="P5" s="14"/>
      <c r="Q5" s="14"/>
      <c r="R5" s="14"/>
      <c r="S5" s="630"/>
    </row>
    <row r="6" spans="1:19" ht="14.25" x14ac:dyDescent="0.3">
      <c r="A6" s="17"/>
      <c r="B6" s="657" t="s">
        <v>1545</v>
      </c>
      <c r="C6" s="658" t="s">
        <v>1588</v>
      </c>
      <c r="D6" s="656">
        <f t="shared" ref="D6:D9" si="1">SUM(E6:S6)</f>
        <v>0</v>
      </c>
      <c r="E6" s="14"/>
      <c r="F6" s="14"/>
      <c r="G6" s="14"/>
      <c r="H6" s="14"/>
      <c r="I6" s="14"/>
      <c r="J6" s="14"/>
      <c r="K6" s="14"/>
      <c r="L6" s="14"/>
      <c r="M6" s="14"/>
      <c r="N6" s="14"/>
      <c r="O6" s="14"/>
      <c r="P6" s="14"/>
      <c r="Q6" s="14"/>
      <c r="R6" s="14"/>
      <c r="S6" s="630"/>
    </row>
    <row r="7" spans="1:19" ht="14.25" x14ac:dyDescent="0.3">
      <c r="A7" s="17"/>
      <c r="B7" s="657" t="s">
        <v>1546</v>
      </c>
      <c r="C7" s="658" t="s">
        <v>1589</v>
      </c>
      <c r="D7" s="656">
        <f t="shared" si="1"/>
        <v>0</v>
      </c>
      <c r="E7" s="14"/>
      <c r="F7" s="14"/>
      <c r="G7" s="14"/>
      <c r="H7" s="14"/>
      <c r="I7" s="14"/>
      <c r="J7" s="14"/>
      <c r="K7" s="14"/>
      <c r="L7" s="14"/>
      <c r="M7" s="14"/>
      <c r="N7" s="14"/>
      <c r="O7" s="14"/>
      <c r="P7" s="14"/>
      <c r="Q7" s="14"/>
      <c r="R7" s="14"/>
      <c r="S7" s="630"/>
    </row>
    <row r="8" spans="1:19" ht="14.25" x14ac:dyDescent="0.3">
      <c r="A8" s="17"/>
      <c r="B8" s="657" t="s">
        <v>1547</v>
      </c>
      <c r="C8" s="658" t="str">
        <f>IF('0 Úvod'!$M$10="English",Slovnik!D38,Slovnik!C38)</f>
        <v>Stroje a zařízení</v>
      </c>
      <c r="D8" s="656">
        <f t="shared" si="1"/>
        <v>0</v>
      </c>
      <c r="E8" s="14"/>
      <c r="F8" s="14"/>
      <c r="G8" s="14"/>
      <c r="H8" s="14"/>
      <c r="I8" s="14"/>
      <c r="J8" s="14"/>
      <c r="K8" s="14"/>
      <c r="L8" s="14"/>
      <c r="M8" s="14"/>
      <c r="N8" s="14"/>
      <c r="O8" s="14"/>
      <c r="P8" s="14"/>
      <c r="Q8" s="14"/>
      <c r="R8" s="14"/>
      <c r="S8" s="630"/>
    </row>
    <row r="9" spans="1:19" ht="14.25" x14ac:dyDescent="0.3">
      <c r="A9" s="17"/>
      <c r="B9" s="657" t="s">
        <v>1548</v>
      </c>
      <c r="C9" s="658" t="s">
        <v>172</v>
      </c>
      <c r="D9" s="656">
        <f t="shared" si="1"/>
        <v>0</v>
      </c>
      <c r="E9" s="14"/>
      <c r="F9" s="14"/>
      <c r="G9" s="14"/>
      <c r="H9" s="14"/>
      <c r="I9" s="14"/>
      <c r="J9" s="14"/>
      <c r="K9" s="14"/>
      <c r="L9" s="14"/>
      <c r="M9" s="14"/>
      <c r="N9" s="14"/>
      <c r="O9" s="14"/>
      <c r="P9" s="14"/>
      <c r="Q9" s="14"/>
      <c r="R9" s="14"/>
      <c r="S9" s="630"/>
    </row>
    <row r="10" spans="1:19" ht="14.25" x14ac:dyDescent="0.3">
      <c r="A10" s="17"/>
      <c r="B10" s="659"/>
      <c r="C10" s="660" t="str">
        <f>IF('0 Úvod'!$M$10="English",Slovnik!D41,Slovnik!C41)</f>
        <v>Celkové investiční náklady bez rezervy</v>
      </c>
      <c r="D10" s="661">
        <f>SUM(E10:S10)</f>
        <v>0</v>
      </c>
      <c r="E10" s="662">
        <f t="shared" ref="E10:S10" si="2">SUM(E5:E9)</f>
        <v>0</v>
      </c>
      <c r="F10" s="662">
        <f t="shared" si="2"/>
        <v>0</v>
      </c>
      <c r="G10" s="662">
        <f t="shared" si="2"/>
        <v>0</v>
      </c>
      <c r="H10" s="662">
        <f t="shared" si="2"/>
        <v>0</v>
      </c>
      <c r="I10" s="662">
        <f t="shared" si="2"/>
        <v>0</v>
      </c>
      <c r="J10" s="662">
        <f t="shared" si="2"/>
        <v>0</v>
      </c>
      <c r="K10" s="662">
        <f t="shared" si="2"/>
        <v>0</v>
      </c>
      <c r="L10" s="662">
        <f t="shared" si="2"/>
        <v>0</v>
      </c>
      <c r="M10" s="662">
        <f t="shared" si="2"/>
        <v>0</v>
      </c>
      <c r="N10" s="662">
        <f t="shared" si="2"/>
        <v>0</v>
      </c>
      <c r="O10" s="662">
        <f t="shared" si="2"/>
        <v>0</v>
      </c>
      <c r="P10" s="662">
        <f t="shared" si="2"/>
        <v>0</v>
      </c>
      <c r="Q10" s="662">
        <f t="shared" si="2"/>
        <v>0</v>
      </c>
      <c r="R10" s="662">
        <f t="shared" si="2"/>
        <v>0</v>
      </c>
      <c r="S10" s="663">
        <f t="shared" si="2"/>
        <v>0</v>
      </c>
    </row>
    <row r="11" spans="1:19" ht="14.25" x14ac:dyDescent="0.3">
      <c r="A11" s="17"/>
      <c r="B11" s="657" t="s">
        <v>1549</v>
      </c>
      <c r="C11" s="658" t="s">
        <v>1542</v>
      </c>
      <c r="D11" s="664">
        <f>SUM(E11:S11)</f>
        <v>0</v>
      </c>
      <c r="E11" s="14"/>
      <c r="F11" s="14"/>
      <c r="G11" s="14"/>
      <c r="H11" s="14"/>
      <c r="I11" s="14"/>
      <c r="J11" s="14"/>
      <c r="K11" s="14"/>
      <c r="L11" s="14"/>
      <c r="M11" s="14"/>
      <c r="N11" s="14"/>
      <c r="O11" s="14"/>
      <c r="P11" s="14"/>
      <c r="Q11" s="14"/>
      <c r="R11" s="14"/>
      <c r="S11" s="630"/>
    </row>
    <row r="12" spans="1:19" ht="14.25" x14ac:dyDescent="0.3">
      <c r="A12" s="17"/>
      <c r="B12" s="659"/>
      <c r="C12" s="660" t="str">
        <f>IF('0 Úvod'!$M$10="English",Slovnik!D43,Slovnik!C43)</f>
        <v>Celkové investiční náklady včetně rezervy</v>
      </c>
      <c r="D12" s="661">
        <f>SUM(E12:S12)</f>
        <v>0</v>
      </c>
      <c r="E12" s="662">
        <f>SUM(E10:E11)</f>
        <v>0</v>
      </c>
      <c r="F12" s="662">
        <f>SUM(F10:F11)</f>
        <v>0</v>
      </c>
      <c r="G12" s="662">
        <f t="shared" ref="G12:R12" si="3">SUM(G10:G11)</f>
        <v>0</v>
      </c>
      <c r="H12" s="662">
        <f t="shared" si="3"/>
        <v>0</v>
      </c>
      <c r="I12" s="662">
        <f t="shared" si="3"/>
        <v>0</v>
      </c>
      <c r="J12" s="662">
        <f t="shared" si="3"/>
        <v>0</v>
      </c>
      <c r="K12" s="662">
        <f t="shared" si="3"/>
        <v>0</v>
      </c>
      <c r="L12" s="662">
        <f t="shared" si="3"/>
        <v>0</v>
      </c>
      <c r="M12" s="662">
        <f t="shared" si="3"/>
        <v>0</v>
      </c>
      <c r="N12" s="662">
        <f t="shared" si="3"/>
        <v>0</v>
      </c>
      <c r="O12" s="662">
        <f t="shared" si="3"/>
        <v>0</v>
      </c>
      <c r="P12" s="662">
        <f t="shared" si="3"/>
        <v>0</v>
      </c>
      <c r="Q12" s="662">
        <f t="shared" si="3"/>
        <v>0</v>
      </c>
      <c r="R12" s="662">
        <f t="shared" si="3"/>
        <v>0</v>
      </c>
      <c r="S12" s="663">
        <f>SUM(S10:S11)</f>
        <v>0</v>
      </c>
    </row>
    <row r="13" spans="1:19" ht="15" thickBot="1" x14ac:dyDescent="0.35">
      <c r="A13" s="17"/>
      <c r="B13" s="665" t="s">
        <v>1550</v>
      </c>
      <c r="C13" s="666" t="s">
        <v>92</v>
      </c>
      <c r="D13" s="664">
        <f>SUM(E13:S13)</f>
        <v>0</v>
      </c>
      <c r="E13" s="114">
        <f>(E12-E6)*'0 Úvod'!$N$20</f>
        <v>0</v>
      </c>
      <c r="F13" s="114">
        <f>(F12-F6)*'0 Úvod'!$N$20</f>
        <v>0</v>
      </c>
      <c r="G13" s="114">
        <f>(G12-G6)*'0 Úvod'!$N$20</f>
        <v>0</v>
      </c>
      <c r="H13" s="114">
        <f>(H12-H6)*'0 Úvod'!$N$20</f>
        <v>0</v>
      </c>
      <c r="I13" s="114">
        <f>(I12-I6)*'0 Úvod'!$N$20</f>
        <v>0</v>
      </c>
      <c r="J13" s="114">
        <f>(J12-J6)*'0 Úvod'!$N$20</f>
        <v>0</v>
      </c>
      <c r="K13" s="114">
        <f>(K12-K6)*'0 Úvod'!$N$20</f>
        <v>0</v>
      </c>
      <c r="L13" s="114">
        <f>(L12-L6)*'0 Úvod'!$N$20</f>
        <v>0</v>
      </c>
      <c r="M13" s="114">
        <f>(M12-M6)*'0 Úvod'!$N$20</f>
        <v>0</v>
      </c>
      <c r="N13" s="114">
        <f>(N12-N6)*'0 Úvod'!$N$20</f>
        <v>0</v>
      </c>
      <c r="O13" s="114">
        <f>(O12-O6)*'0 Úvod'!$N$20</f>
        <v>0</v>
      </c>
      <c r="P13" s="114">
        <f>(P12-P6)*'0 Úvod'!$N$20</f>
        <v>0</v>
      </c>
      <c r="Q13" s="114">
        <f>(Q12-Q6)*'0 Úvod'!$N$20</f>
        <v>0</v>
      </c>
      <c r="R13" s="114">
        <f>(R12-R6)*'0 Úvod'!$N$20</f>
        <v>0</v>
      </c>
      <c r="S13" s="631">
        <f>(S12-S6)*'0 Úvod'!$N$20</f>
        <v>0</v>
      </c>
    </row>
    <row r="14" spans="1:19" ht="15" thickBot="1" x14ac:dyDescent="0.35">
      <c r="A14" s="17"/>
      <c r="B14" s="667"/>
      <c r="C14" s="668" t="str">
        <f>IF('0 Úvod'!$M$10="English",Slovnik!D45,Slovnik!C45)</f>
        <v>Celkové investiční náklady včetně DPH</v>
      </c>
      <c r="D14" s="669">
        <f>SUM(E14:S14)</f>
        <v>0</v>
      </c>
      <c r="E14" s="670">
        <f>E13+E12</f>
        <v>0</v>
      </c>
      <c r="F14" s="670">
        <f>F13+F12</f>
        <v>0</v>
      </c>
      <c r="G14" s="670">
        <f t="shared" ref="G14:R14" si="4">G13+G12</f>
        <v>0</v>
      </c>
      <c r="H14" s="670">
        <f t="shared" si="4"/>
        <v>0</v>
      </c>
      <c r="I14" s="670">
        <f t="shared" si="4"/>
        <v>0</v>
      </c>
      <c r="J14" s="670">
        <f t="shared" si="4"/>
        <v>0</v>
      </c>
      <c r="K14" s="670">
        <f t="shared" si="4"/>
        <v>0</v>
      </c>
      <c r="L14" s="670">
        <f t="shared" si="4"/>
        <v>0</v>
      </c>
      <c r="M14" s="670">
        <f t="shared" si="4"/>
        <v>0</v>
      </c>
      <c r="N14" s="670">
        <f t="shared" si="4"/>
        <v>0</v>
      </c>
      <c r="O14" s="670">
        <f t="shared" si="4"/>
        <v>0</v>
      </c>
      <c r="P14" s="670">
        <f t="shared" si="4"/>
        <v>0</v>
      </c>
      <c r="Q14" s="670">
        <f t="shared" si="4"/>
        <v>0</v>
      </c>
      <c r="R14" s="670">
        <f t="shared" si="4"/>
        <v>0</v>
      </c>
      <c r="S14" s="671">
        <f>S13+S12</f>
        <v>0</v>
      </c>
    </row>
    <row r="15" spans="1:19" ht="12" thickBot="1" x14ac:dyDescent="0.25"/>
    <row r="16" spans="1:19" ht="14.25" x14ac:dyDescent="0.3">
      <c r="A16" s="17"/>
      <c r="B16" s="673" t="s">
        <v>3</v>
      </c>
      <c r="C16" s="674" t="s">
        <v>1419</v>
      </c>
      <c r="D16" s="675">
        <f t="shared" ref="D16:D17" si="5">SUM(E16:S16)</f>
        <v>0</v>
      </c>
      <c r="E16" s="577"/>
      <c r="F16" s="577"/>
      <c r="G16" s="577"/>
      <c r="H16" s="577"/>
      <c r="I16" s="577"/>
      <c r="J16" s="577"/>
      <c r="K16" s="577"/>
      <c r="L16" s="577"/>
      <c r="M16" s="577"/>
      <c r="N16" s="577"/>
      <c r="O16" s="577"/>
      <c r="P16" s="577"/>
      <c r="Q16" s="577"/>
      <c r="R16" s="577"/>
      <c r="S16" s="632"/>
    </row>
    <row r="17" spans="1:20" ht="15" thickBot="1" x14ac:dyDescent="0.35">
      <c r="A17" s="17"/>
      <c r="B17" s="676" t="s">
        <v>5</v>
      </c>
      <c r="C17" s="677" t="s">
        <v>1420</v>
      </c>
      <c r="D17" s="678">
        <f t="shared" si="5"/>
        <v>0</v>
      </c>
      <c r="E17" s="679">
        <f>E14-E16</f>
        <v>0</v>
      </c>
      <c r="F17" s="679">
        <f t="shared" ref="F17:S17" si="6">F14-F16</f>
        <v>0</v>
      </c>
      <c r="G17" s="679">
        <f t="shared" si="6"/>
        <v>0</v>
      </c>
      <c r="H17" s="679">
        <f t="shared" si="6"/>
        <v>0</v>
      </c>
      <c r="I17" s="679">
        <f t="shared" si="6"/>
        <v>0</v>
      </c>
      <c r="J17" s="679">
        <f t="shared" si="6"/>
        <v>0</v>
      </c>
      <c r="K17" s="679">
        <f t="shared" si="6"/>
        <v>0</v>
      </c>
      <c r="L17" s="679">
        <f t="shared" si="6"/>
        <v>0</v>
      </c>
      <c r="M17" s="679">
        <f t="shared" si="6"/>
        <v>0</v>
      </c>
      <c r="N17" s="679">
        <f t="shared" si="6"/>
        <v>0</v>
      </c>
      <c r="O17" s="679">
        <f t="shared" si="6"/>
        <v>0</v>
      </c>
      <c r="P17" s="679">
        <f t="shared" si="6"/>
        <v>0</v>
      </c>
      <c r="Q17" s="679">
        <f t="shared" si="6"/>
        <v>0</v>
      </c>
      <c r="R17" s="679">
        <f t="shared" si="6"/>
        <v>0</v>
      </c>
      <c r="S17" s="680">
        <f t="shared" si="6"/>
        <v>0</v>
      </c>
    </row>
    <row r="18" spans="1:20" ht="12" customHeight="1" thickBot="1" x14ac:dyDescent="0.35">
      <c r="A18" s="17"/>
      <c r="B18" s="634"/>
      <c r="C18" s="634"/>
      <c r="D18" s="635"/>
      <c r="E18" s="636"/>
      <c r="F18" s="636"/>
      <c r="G18" s="636"/>
      <c r="H18" s="636"/>
      <c r="I18" s="636"/>
      <c r="J18" s="636"/>
      <c r="K18" s="636"/>
      <c r="L18" s="636"/>
      <c r="M18" s="636"/>
      <c r="N18" s="636"/>
      <c r="O18" s="636"/>
      <c r="P18" s="636"/>
      <c r="Q18" s="636"/>
      <c r="R18" s="636"/>
      <c r="S18" s="636"/>
    </row>
    <row r="19" spans="1:20" ht="14.25" x14ac:dyDescent="0.3">
      <c r="A19" s="17"/>
      <c r="B19" s="673" t="s">
        <v>3</v>
      </c>
      <c r="C19" s="674" t="s">
        <v>1551</v>
      </c>
      <c r="D19" s="675">
        <f t="shared" ref="D19" si="7">SUM(E19:S19)</f>
        <v>0</v>
      </c>
      <c r="E19" s="577"/>
      <c r="F19" s="577"/>
      <c r="G19" s="577"/>
      <c r="H19" s="577"/>
      <c r="I19" s="577"/>
      <c r="J19" s="577"/>
      <c r="K19" s="577"/>
      <c r="L19" s="577"/>
      <c r="M19" s="577"/>
      <c r="N19" s="577"/>
      <c r="O19" s="577"/>
      <c r="P19" s="577"/>
      <c r="Q19" s="577"/>
      <c r="R19" s="577"/>
      <c r="S19" s="632"/>
    </row>
    <row r="20" spans="1:20" ht="15" thickBot="1" x14ac:dyDescent="0.35">
      <c r="A20" s="17"/>
      <c r="B20" s="676" t="s">
        <v>1543</v>
      </c>
      <c r="C20" s="677" t="s">
        <v>1552</v>
      </c>
      <c r="D20" s="681" t="str">
        <f>IFERROR(D19/(D7+D8),"n.a.")</f>
        <v>n.a.</v>
      </c>
      <c r="E20" s="682"/>
      <c r="F20" s="682"/>
      <c r="G20" s="682"/>
      <c r="H20" s="682"/>
      <c r="I20" s="682"/>
      <c r="J20" s="682"/>
      <c r="K20" s="682"/>
      <c r="L20" s="682"/>
      <c r="M20" s="682"/>
      <c r="N20" s="682"/>
      <c r="O20" s="682"/>
      <c r="P20" s="682"/>
      <c r="Q20" s="682"/>
      <c r="R20" s="682"/>
      <c r="S20" s="683"/>
    </row>
    <row r="21" spans="1:20" ht="14.25" thickBot="1" x14ac:dyDescent="0.35">
      <c r="A21" s="17"/>
      <c r="B21" s="634"/>
      <c r="C21" s="634" t="str">
        <f>IF((D7+D8)=0,"",IF(D20&gt;0.15,"Jedná se o modernizační projekt.",""))</f>
        <v/>
      </c>
      <c r="D21" s="635"/>
      <c r="E21" s="636"/>
      <c r="F21" s="636"/>
      <c r="G21" s="636"/>
      <c r="H21" s="636"/>
      <c r="I21" s="636"/>
      <c r="J21" s="636"/>
      <c r="K21" s="636"/>
      <c r="L21" s="636"/>
      <c r="M21" s="636"/>
      <c r="N21" s="636"/>
      <c r="O21" s="636"/>
      <c r="P21" s="636"/>
      <c r="Q21" s="636"/>
      <c r="R21" s="636"/>
      <c r="S21" s="636"/>
    </row>
    <row r="22" spans="1:20" ht="14.25" hidden="1" x14ac:dyDescent="0.3">
      <c r="A22" s="17"/>
      <c r="B22" s="684" t="s">
        <v>3</v>
      </c>
      <c r="C22" s="685" t="str">
        <f>IF('0 Úvod'!$M$10="English",Slovnik!$D$32,Slovnik!$C$32)</f>
        <v>Celkové investiční náklady (CZK)</v>
      </c>
      <c r="D22" s="16"/>
      <c r="E22" s="686"/>
      <c r="F22" s="687"/>
      <c r="G22" s="687"/>
      <c r="H22" s="687"/>
      <c r="I22" s="687"/>
      <c r="J22" s="687"/>
      <c r="K22" s="687"/>
      <c r="L22" s="687"/>
      <c r="M22" s="687"/>
      <c r="N22" s="687"/>
      <c r="O22" s="687"/>
      <c r="P22" s="687"/>
      <c r="Q22" s="687"/>
      <c r="R22" s="687"/>
      <c r="S22" s="688"/>
    </row>
    <row r="23" spans="1:20" ht="14.25" hidden="1" x14ac:dyDescent="0.3">
      <c r="A23" s="17"/>
      <c r="B23" s="689" t="s">
        <v>5</v>
      </c>
      <c r="C23" s="690" t="str">
        <f>IF('0 Úvod'!M10="English",Slovnik!$D$33,Slovnik!$C$33)</f>
        <v>(konstantní ceny)</v>
      </c>
      <c r="D23" s="1824"/>
      <c r="E23" s="691">
        <f>S3+1</f>
        <v>2041</v>
      </c>
      <c r="F23" s="648">
        <f>E23+1</f>
        <v>2042</v>
      </c>
      <c r="G23" s="648">
        <f t="shared" ref="G23:S23" si="8">F23+1</f>
        <v>2043</v>
      </c>
      <c r="H23" s="648">
        <f t="shared" si="8"/>
        <v>2044</v>
      </c>
      <c r="I23" s="648">
        <f t="shared" si="8"/>
        <v>2045</v>
      </c>
      <c r="J23" s="648">
        <f t="shared" si="8"/>
        <v>2046</v>
      </c>
      <c r="K23" s="648">
        <f t="shared" si="8"/>
        <v>2047</v>
      </c>
      <c r="L23" s="648">
        <f t="shared" si="8"/>
        <v>2048</v>
      </c>
      <c r="M23" s="648">
        <f t="shared" si="8"/>
        <v>2049</v>
      </c>
      <c r="N23" s="648">
        <f t="shared" si="8"/>
        <v>2050</v>
      </c>
      <c r="O23" s="648">
        <f t="shared" si="8"/>
        <v>2051</v>
      </c>
      <c r="P23" s="648">
        <f t="shared" si="8"/>
        <v>2052</v>
      </c>
      <c r="Q23" s="648">
        <f t="shared" si="8"/>
        <v>2053</v>
      </c>
      <c r="R23" s="648">
        <f t="shared" si="8"/>
        <v>2054</v>
      </c>
      <c r="S23" s="692">
        <f t="shared" si="8"/>
        <v>2055</v>
      </c>
    </row>
    <row r="24" spans="1:20" ht="15" hidden="1" thickBot="1" x14ac:dyDescent="0.35">
      <c r="A24" s="17"/>
      <c r="B24" s="693"/>
      <c r="C24" s="694" t="str">
        <f>IF('0 Úvod'!M10="English",Slovnik!$D$34,Slovnik!$C$34)&amp;" "&amp;'0 Úvod'!D18</f>
        <v>CÚ 2025</v>
      </c>
      <c r="D24" s="1825"/>
      <c r="E24" s="695"/>
      <c r="F24" s="652"/>
      <c r="G24" s="652"/>
      <c r="H24" s="652"/>
      <c r="I24" s="652"/>
      <c r="J24" s="652"/>
      <c r="K24" s="652"/>
      <c r="L24" s="652"/>
      <c r="M24" s="652"/>
      <c r="N24" s="652"/>
      <c r="O24" s="652"/>
      <c r="P24" s="652"/>
      <c r="Q24" s="652"/>
      <c r="R24" s="652"/>
      <c r="S24" s="696"/>
    </row>
    <row r="25" spans="1:20" ht="14.25" hidden="1" x14ac:dyDescent="0.3">
      <c r="A25" s="17"/>
      <c r="B25" s="697"/>
      <c r="C25" s="698" t="str">
        <f>IF('0 Úvod'!$M$10="English",Slovnik!D35,Slovnik!C35)</f>
        <v>Projektová dokumentace</v>
      </c>
      <c r="D25" s="699"/>
      <c r="E25" s="700"/>
      <c r="F25" s="700"/>
      <c r="G25" s="700"/>
      <c r="H25" s="700"/>
      <c r="I25" s="700"/>
      <c r="J25" s="700"/>
      <c r="K25" s="700"/>
      <c r="L25" s="700"/>
      <c r="M25" s="700"/>
      <c r="N25" s="700"/>
      <c r="O25" s="700"/>
      <c r="P25" s="700"/>
      <c r="Q25" s="700"/>
      <c r="R25" s="700"/>
      <c r="S25" s="700"/>
      <c r="T25" s="701"/>
    </row>
    <row r="26" spans="1:20" ht="14.25" hidden="1" x14ac:dyDescent="0.3">
      <c r="A26" s="17"/>
      <c r="B26" s="702"/>
      <c r="C26" s="658" t="str">
        <f>IF('0 Úvod'!$M$10="English",Slovnik!D36,Slovnik!C36)</f>
        <v>Zábory a nákupy pozemků</v>
      </c>
      <c r="D26" s="703"/>
      <c r="E26" s="700"/>
      <c r="F26" s="700"/>
      <c r="G26" s="700"/>
      <c r="H26" s="700"/>
      <c r="I26" s="700"/>
      <c r="J26" s="700"/>
      <c r="K26" s="700"/>
      <c r="L26" s="700"/>
      <c r="M26" s="700"/>
      <c r="N26" s="700"/>
      <c r="O26" s="700"/>
      <c r="P26" s="700"/>
      <c r="Q26" s="700"/>
      <c r="R26" s="700"/>
      <c r="S26" s="700"/>
      <c r="T26" s="701"/>
    </row>
    <row r="27" spans="1:20" ht="14.25" hidden="1" x14ac:dyDescent="0.3">
      <c r="A27" s="17"/>
      <c r="B27" s="702"/>
      <c r="C27" s="658" t="str">
        <f>IF('0 Úvod'!$M$10="English",Slovnik!D37,Slovnik!C37)</f>
        <v>Stavby a konstrukce (stavební náklady)</v>
      </c>
      <c r="D27" s="703"/>
      <c r="E27" s="700"/>
      <c r="F27" s="700"/>
      <c r="G27" s="700"/>
      <c r="H27" s="700"/>
      <c r="I27" s="700"/>
      <c r="J27" s="700"/>
      <c r="K27" s="700"/>
      <c r="L27" s="700"/>
      <c r="M27" s="700"/>
      <c r="N27" s="700"/>
      <c r="O27" s="700"/>
      <c r="P27" s="700"/>
      <c r="Q27" s="700"/>
      <c r="R27" s="700"/>
      <c r="S27" s="700"/>
      <c r="T27" s="701"/>
    </row>
    <row r="28" spans="1:20" ht="14.25" hidden="1" x14ac:dyDescent="0.3">
      <c r="A28" s="17"/>
      <c r="B28" s="702"/>
      <c r="C28" s="658" t="str">
        <f>IF('0 Úvod'!$M$10="English",Slovnik!D38,Slovnik!C38)</f>
        <v>Stroje a zařízení</v>
      </c>
      <c r="D28" s="703"/>
      <c r="E28" s="700"/>
      <c r="F28" s="700"/>
      <c r="G28" s="700"/>
      <c r="H28" s="700"/>
      <c r="I28" s="700"/>
      <c r="J28" s="700"/>
      <c r="K28" s="700"/>
      <c r="L28" s="700"/>
      <c r="M28" s="700"/>
      <c r="N28" s="700"/>
      <c r="O28" s="700"/>
      <c r="P28" s="700"/>
      <c r="Q28" s="700"/>
      <c r="R28" s="700"/>
      <c r="S28" s="700"/>
      <c r="T28" s="701"/>
    </row>
    <row r="29" spans="1:20" ht="14.25" hidden="1" x14ac:dyDescent="0.3">
      <c r="A29" s="17"/>
      <c r="B29" s="702"/>
      <c r="C29" s="658" t="str">
        <f>IF('0 Úvod'!$M$10="English",Slovnik!D39,Slovnik!C39)</f>
        <v>Technická asistence, propagace</v>
      </c>
      <c r="D29" s="703"/>
      <c r="E29" s="700"/>
      <c r="F29" s="700"/>
      <c r="G29" s="700"/>
      <c r="H29" s="700"/>
      <c r="I29" s="700"/>
      <c r="J29" s="700"/>
      <c r="K29" s="700"/>
      <c r="L29" s="700"/>
      <c r="M29" s="700"/>
      <c r="N29" s="700"/>
      <c r="O29" s="700"/>
      <c r="P29" s="700"/>
      <c r="Q29" s="700"/>
      <c r="R29" s="700"/>
      <c r="S29" s="700"/>
      <c r="T29" s="701"/>
    </row>
    <row r="30" spans="1:20" ht="14.25" hidden="1" x14ac:dyDescent="0.3">
      <c r="A30" s="17"/>
      <c r="B30" s="702"/>
      <c r="C30" s="658" t="str">
        <f>IF('0 Úvod'!$M$10="English",Slovnik!D40,Slovnik!C40)</f>
        <v>Technický dozor</v>
      </c>
      <c r="D30" s="704"/>
      <c r="E30" s="700"/>
      <c r="F30" s="700"/>
      <c r="G30" s="700"/>
      <c r="H30" s="700"/>
      <c r="I30" s="700"/>
      <c r="J30" s="700"/>
      <c r="K30" s="700"/>
      <c r="L30" s="700"/>
      <c r="M30" s="700"/>
      <c r="N30" s="700"/>
      <c r="O30" s="700"/>
      <c r="P30" s="700"/>
      <c r="Q30" s="700"/>
      <c r="R30" s="700"/>
      <c r="S30" s="700"/>
      <c r="T30" s="701"/>
    </row>
    <row r="31" spans="1:20" ht="14.25" hidden="1" x14ac:dyDescent="0.3">
      <c r="A31" s="17"/>
      <c r="B31" s="705"/>
      <c r="C31" s="706" t="str">
        <f>IF('0 Úvod'!$M$10="English",Slovnik!D41,Slovnik!C41)</f>
        <v>Celkové investiční náklady bez rezervy</v>
      </c>
      <c r="D31" s="707"/>
      <c r="E31" s="708">
        <f t="shared" ref="E31:S31" si="9">SUM(E25:E30)</f>
        <v>0</v>
      </c>
      <c r="F31" s="662">
        <f t="shared" si="9"/>
        <v>0</v>
      </c>
      <c r="G31" s="662">
        <f t="shared" si="9"/>
        <v>0</v>
      </c>
      <c r="H31" s="662">
        <f t="shared" si="9"/>
        <v>0</v>
      </c>
      <c r="I31" s="662">
        <f t="shared" si="9"/>
        <v>0</v>
      </c>
      <c r="J31" s="662">
        <f t="shared" si="9"/>
        <v>0</v>
      </c>
      <c r="K31" s="662">
        <f t="shared" si="9"/>
        <v>0</v>
      </c>
      <c r="L31" s="662">
        <f t="shared" si="9"/>
        <v>0</v>
      </c>
      <c r="M31" s="662">
        <f t="shared" si="9"/>
        <v>0</v>
      </c>
      <c r="N31" s="662">
        <f t="shared" si="9"/>
        <v>0</v>
      </c>
      <c r="O31" s="662">
        <f t="shared" si="9"/>
        <v>0</v>
      </c>
      <c r="P31" s="662">
        <f t="shared" si="9"/>
        <v>0</v>
      </c>
      <c r="Q31" s="662">
        <f t="shared" si="9"/>
        <v>0</v>
      </c>
      <c r="R31" s="662">
        <f t="shared" si="9"/>
        <v>0</v>
      </c>
      <c r="S31" s="709">
        <f t="shared" si="9"/>
        <v>0</v>
      </c>
      <c r="T31" s="701"/>
    </row>
    <row r="32" spans="1:20" ht="14.25" hidden="1" x14ac:dyDescent="0.3">
      <c r="A32" s="17"/>
      <c r="B32" s="710"/>
      <c r="C32" s="711" t="str">
        <f>IF('0 Úvod'!$M$10="English",Slovnik!D42,Slovnik!C42)</f>
        <v>Rezerva</v>
      </c>
      <c r="D32" s="712"/>
      <c r="E32" s="700"/>
      <c r="F32" s="700"/>
      <c r="G32" s="700"/>
      <c r="H32" s="700"/>
      <c r="I32" s="700"/>
      <c r="J32" s="700"/>
      <c r="K32" s="700"/>
      <c r="L32" s="700"/>
      <c r="M32" s="700"/>
      <c r="N32" s="700"/>
      <c r="O32" s="700"/>
      <c r="P32" s="700"/>
      <c r="Q32" s="700"/>
      <c r="R32" s="700"/>
      <c r="S32" s="700"/>
      <c r="T32" s="701"/>
    </row>
    <row r="33" spans="1:20" ht="14.25" hidden="1" x14ac:dyDescent="0.3">
      <c r="A33" s="17"/>
      <c r="B33" s="705"/>
      <c r="C33" s="706" t="str">
        <f>IF('0 Úvod'!$M$10="English",Slovnik!D43,Slovnik!C43)</f>
        <v>Celkové investiční náklady včetně rezervy</v>
      </c>
      <c r="D33" s="707"/>
      <c r="E33" s="708">
        <f t="shared" ref="E33:S33" si="10">SUM(E31:E32)</f>
        <v>0</v>
      </c>
      <c r="F33" s="662">
        <f t="shared" si="10"/>
        <v>0</v>
      </c>
      <c r="G33" s="662">
        <f t="shared" si="10"/>
        <v>0</v>
      </c>
      <c r="H33" s="662">
        <f t="shared" si="10"/>
        <v>0</v>
      </c>
      <c r="I33" s="662">
        <f t="shared" si="10"/>
        <v>0</v>
      </c>
      <c r="J33" s="662">
        <f t="shared" si="10"/>
        <v>0</v>
      </c>
      <c r="K33" s="662">
        <f t="shared" si="10"/>
        <v>0</v>
      </c>
      <c r="L33" s="662">
        <f t="shared" si="10"/>
        <v>0</v>
      </c>
      <c r="M33" s="662">
        <f t="shared" si="10"/>
        <v>0</v>
      </c>
      <c r="N33" s="662">
        <f t="shared" si="10"/>
        <v>0</v>
      </c>
      <c r="O33" s="662">
        <f t="shared" si="10"/>
        <v>0</v>
      </c>
      <c r="P33" s="662">
        <f t="shared" si="10"/>
        <v>0</v>
      </c>
      <c r="Q33" s="662">
        <f t="shared" si="10"/>
        <v>0</v>
      </c>
      <c r="R33" s="662">
        <f t="shared" si="10"/>
        <v>0</v>
      </c>
      <c r="S33" s="709">
        <f t="shared" si="10"/>
        <v>0</v>
      </c>
      <c r="T33" s="701"/>
    </row>
    <row r="34" spans="1:20" ht="15" hidden="1" thickBot="1" x14ac:dyDescent="0.35">
      <c r="A34" s="17"/>
      <c r="B34" s="713"/>
      <c r="C34" s="714" t="str">
        <f>IF('0 Úvod'!M10="English",Slovnik!$D$44,Slovnik!$C$44)&amp;" "&amp;'0 Úvod'!N20*100&amp;" %"</f>
        <v>DPH 21 %</v>
      </c>
      <c r="D34" s="715"/>
      <c r="E34" s="716">
        <f>(E33-E26)*'0 Úvod'!$N$20</f>
        <v>0</v>
      </c>
      <c r="F34" s="716">
        <f>(F33-F26)*'0 Úvod'!$N$20</f>
        <v>0</v>
      </c>
      <c r="G34" s="716">
        <f>(G33-G26)*'0 Úvod'!$N$20</f>
        <v>0</v>
      </c>
      <c r="H34" s="716">
        <f>(H33-H26)*'0 Úvod'!$N$20</f>
        <v>0</v>
      </c>
      <c r="I34" s="716">
        <f>(I33-I26)*'0 Úvod'!$N$20</f>
        <v>0</v>
      </c>
      <c r="J34" s="716">
        <f>(J33-J26)*'0 Úvod'!$N$20</f>
        <v>0</v>
      </c>
      <c r="K34" s="716">
        <f>(K33-K26)*'0 Úvod'!$N$20</f>
        <v>0</v>
      </c>
      <c r="L34" s="716">
        <f>(L33-L26)*'0 Úvod'!$N$20</f>
        <v>0</v>
      </c>
      <c r="M34" s="716">
        <f>(M33-M26)*'0 Úvod'!$N$20</f>
        <v>0</v>
      </c>
      <c r="N34" s="716">
        <f>(N33-N26)*'0 Úvod'!$N$20</f>
        <v>0</v>
      </c>
      <c r="O34" s="716">
        <f>(O33-O26)*'0 Úvod'!$N$20</f>
        <v>0</v>
      </c>
      <c r="P34" s="716">
        <f>(P33-P26)*'0 Úvod'!$N$20</f>
        <v>0</v>
      </c>
      <c r="Q34" s="716">
        <f>(Q33-Q26)*'0 Úvod'!$N$20</f>
        <v>0</v>
      </c>
      <c r="R34" s="716">
        <f>(R33-R26)*'0 Úvod'!$N$20</f>
        <v>0</v>
      </c>
      <c r="S34" s="716">
        <f>(S33-S26)*'0 Úvod'!$N$20</f>
        <v>0</v>
      </c>
      <c r="T34" s="701"/>
    </row>
    <row r="35" spans="1:20" ht="15" hidden="1" thickBot="1" x14ac:dyDescent="0.35">
      <c r="A35" s="17"/>
      <c r="B35" s="717"/>
      <c r="C35" s="718" t="str">
        <f>IF('0 Úvod'!$M$10="English",Slovnik!D45,Slovnik!C45)</f>
        <v>Celkové investiční náklady včetně DPH</v>
      </c>
      <c r="D35" s="719"/>
      <c r="E35" s="720">
        <f t="shared" ref="E35:S35" si="11">E34+E33</f>
        <v>0</v>
      </c>
      <c r="F35" s="721">
        <f t="shared" si="11"/>
        <v>0</v>
      </c>
      <c r="G35" s="721">
        <f t="shared" si="11"/>
        <v>0</v>
      </c>
      <c r="H35" s="721">
        <f t="shared" si="11"/>
        <v>0</v>
      </c>
      <c r="I35" s="721">
        <f t="shared" si="11"/>
        <v>0</v>
      </c>
      <c r="J35" s="721">
        <f t="shared" si="11"/>
        <v>0</v>
      </c>
      <c r="K35" s="721">
        <f t="shared" si="11"/>
        <v>0</v>
      </c>
      <c r="L35" s="721">
        <f t="shared" si="11"/>
        <v>0</v>
      </c>
      <c r="M35" s="721">
        <f t="shared" si="11"/>
        <v>0</v>
      </c>
      <c r="N35" s="721">
        <f t="shared" si="11"/>
        <v>0</v>
      </c>
      <c r="O35" s="721">
        <f t="shared" si="11"/>
        <v>0</v>
      </c>
      <c r="P35" s="721">
        <f t="shared" si="11"/>
        <v>0</v>
      </c>
      <c r="Q35" s="721">
        <f t="shared" si="11"/>
        <v>0</v>
      </c>
      <c r="R35" s="721">
        <f t="shared" si="11"/>
        <v>0</v>
      </c>
      <c r="S35" s="722">
        <f t="shared" si="11"/>
        <v>0</v>
      </c>
      <c r="T35" s="701"/>
    </row>
    <row r="36" spans="1:20" ht="13.5" hidden="1" x14ac:dyDescent="0.3">
      <c r="A36" s="17"/>
      <c r="B36" s="634"/>
      <c r="C36" s="634"/>
      <c r="D36" s="635"/>
      <c r="E36" s="636"/>
      <c r="F36" s="636"/>
      <c r="G36" s="636"/>
      <c r="H36" s="636"/>
      <c r="I36" s="636"/>
      <c r="J36" s="636"/>
      <c r="K36" s="636"/>
      <c r="L36" s="636"/>
      <c r="M36" s="636"/>
      <c r="N36" s="636"/>
      <c r="O36" s="636"/>
      <c r="P36" s="636"/>
      <c r="Q36" s="636"/>
      <c r="R36" s="636"/>
      <c r="S36" s="636"/>
    </row>
    <row r="37" spans="1:20" ht="13.5" hidden="1" x14ac:dyDescent="0.3">
      <c r="A37" s="17"/>
      <c r="B37" s="634"/>
      <c r="C37" s="634"/>
      <c r="D37" s="635"/>
      <c r="E37" s="636"/>
      <c r="F37" s="636"/>
      <c r="G37" s="636"/>
      <c r="H37" s="636"/>
      <c r="I37" s="636"/>
      <c r="J37" s="636"/>
      <c r="K37" s="636"/>
      <c r="L37" s="636"/>
      <c r="M37" s="636"/>
      <c r="N37" s="636"/>
      <c r="O37" s="636"/>
      <c r="P37" s="636"/>
      <c r="Q37" s="636"/>
      <c r="R37" s="636"/>
      <c r="S37" s="636"/>
    </row>
    <row r="38" spans="1:20" ht="14.25" hidden="1" x14ac:dyDescent="0.3">
      <c r="A38" s="17"/>
      <c r="B38" s="723" t="s">
        <v>6</v>
      </c>
      <c r="C38" s="724" t="str">
        <f>IF('0 Úvod'!$M$10="English",Slovnik!$D$48,Slovnik!$C$48)</f>
        <v>Celkové investiční náklady (CZK)</v>
      </c>
      <c r="D38" s="725"/>
      <c r="E38" s="726"/>
      <c r="F38" s="727"/>
      <c r="G38" s="727"/>
      <c r="H38" s="727"/>
      <c r="I38" s="727"/>
      <c r="J38" s="727"/>
      <c r="K38" s="727"/>
      <c r="L38" s="727"/>
      <c r="M38" s="727"/>
      <c r="N38" s="727"/>
      <c r="O38" s="727"/>
      <c r="P38" s="727"/>
      <c r="Q38" s="727"/>
      <c r="R38" s="727"/>
      <c r="S38" s="728"/>
    </row>
    <row r="39" spans="1:20" ht="13.5" hidden="1" customHeight="1" thickBot="1" x14ac:dyDescent="0.35">
      <c r="A39" s="17"/>
      <c r="B39" s="729" t="s">
        <v>4</v>
      </c>
      <c r="C39" s="730" t="str">
        <f>IF('0 Úvod'!$M$10="English",Slovnik!$D$49,Slovnik!$C$49)</f>
        <v>(běžné ceny)</v>
      </c>
      <c r="D39" s="1826" t="str">
        <f>IF('0 Úvod'!$M$10="English",Slovnik!$D$63,Slovnik!$C$63)</f>
        <v>Celkové projektové náklady</v>
      </c>
      <c r="E39" s="731">
        <f>E3</f>
        <v>2026</v>
      </c>
      <c r="F39" s="732">
        <f>E39+1</f>
        <v>2027</v>
      </c>
      <c r="G39" s="732">
        <f t="shared" ref="G39:S39" si="12">F39+1</f>
        <v>2028</v>
      </c>
      <c r="H39" s="732">
        <f t="shared" si="12"/>
        <v>2029</v>
      </c>
      <c r="I39" s="732">
        <f t="shared" si="12"/>
        <v>2030</v>
      </c>
      <c r="J39" s="732">
        <f t="shared" si="12"/>
        <v>2031</v>
      </c>
      <c r="K39" s="732">
        <f t="shared" si="12"/>
        <v>2032</v>
      </c>
      <c r="L39" s="732">
        <f t="shared" si="12"/>
        <v>2033</v>
      </c>
      <c r="M39" s="732">
        <f t="shared" si="12"/>
        <v>2034</v>
      </c>
      <c r="N39" s="732">
        <f t="shared" si="12"/>
        <v>2035</v>
      </c>
      <c r="O39" s="732">
        <f t="shared" si="12"/>
        <v>2036</v>
      </c>
      <c r="P39" s="732">
        <f t="shared" si="12"/>
        <v>2037</v>
      </c>
      <c r="Q39" s="732">
        <f t="shared" si="12"/>
        <v>2038</v>
      </c>
      <c r="R39" s="732">
        <f t="shared" si="12"/>
        <v>2039</v>
      </c>
      <c r="S39" s="733">
        <f t="shared" si="12"/>
        <v>2040</v>
      </c>
    </row>
    <row r="40" spans="1:20" ht="15" hidden="1" thickBot="1" x14ac:dyDescent="0.35">
      <c r="A40" s="17"/>
      <c r="B40" s="734"/>
      <c r="C40" s="735" t="str">
        <f>IF('0 Úvod'!$M$10="English",Slovnik!D50,Slovnik!C50)</f>
        <v>Způsobilost nákladů **</v>
      </c>
      <c r="D40" s="1827"/>
      <c r="E40" s="736"/>
      <c r="F40" s="737"/>
      <c r="G40" s="737"/>
      <c r="H40" s="737"/>
      <c r="I40" s="737"/>
      <c r="J40" s="737"/>
      <c r="K40" s="737"/>
      <c r="L40" s="737"/>
      <c r="M40" s="737"/>
      <c r="N40" s="737"/>
      <c r="O40" s="737"/>
      <c r="P40" s="737"/>
      <c r="Q40" s="737"/>
      <c r="R40" s="737"/>
      <c r="S40" s="738"/>
    </row>
    <row r="41" spans="1:20" ht="14.25" hidden="1" x14ac:dyDescent="0.3">
      <c r="A41" s="17"/>
      <c r="B41" s="702"/>
      <c r="C41" s="655" t="str">
        <f>IF('0 Úvod'!$M$10="English",Slovnik!D51,Slovnik!C51)</f>
        <v>Poplatky za plány/stavební projekt</v>
      </c>
      <c r="D41" s="739">
        <f>SUM(E41:S41,E57:S57)</f>
        <v>0</v>
      </c>
      <c r="E41" s="700"/>
      <c r="F41" s="700"/>
      <c r="G41" s="700"/>
      <c r="H41" s="700"/>
      <c r="I41" s="700"/>
      <c r="J41" s="700"/>
      <c r="K41" s="700"/>
      <c r="L41" s="700"/>
      <c r="M41" s="700"/>
      <c r="N41" s="700"/>
      <c r="O41" s="700"/>
      <c r="P41" s="700"/>
      <c r="Q41" s="700"/>
      <c r="R41" s="700"/>
      <c r="S41" s="700"/>
      <c r="T41" s="701"/>
    </row>
    <row r="42" spans="1:20" ht="14.25" hidden="1" x14ac:dyDescent="0.3">
      <c r="A42" s="17"/>
      <c r="B42" s="702"/>
      <c r="C42" s="655" t="str">
        <f>IF('0 Úvod'!$M$10="English",Slovnik!D52,Slovnik!C52)</f>
        <v>Nákup pozemků</v>
      </c>
      <c r="D42" s="740">
        <f t="shared" ref="D42:D52" si="13">SUM(E42:S42,E58:S58)</f>
        <v>0</v>
      </c>
      <c r="E42" s="700"/>
      <c r="F42" s="700"/>
      <c r="G42" s="700"/>
      <c r="H42" s="700"/>
      <c r="I42" s="700"/>
      <c r="J42" s="700"/>
      <c r="K42" s="700"/>
      <c r="L42" s="700"/>
      <c r="M42" s="700"/>
      <c r="N42" s="700"/>
      <c r="O42" s="700"/>
      <c r="P42" s="700"/>
      <c r="Q42" s="700"/>
      <c r="R42" s="700"/>
      <c r="S42" s="700"/>
      <c r="T42" s="701"/>
    </row>
    <row r="43" spans="1:20" ht="14.25" hidden="1" x14ac:dyDescent="0.3">
      <c r="A43" s="17"/>
      <c r="B43" s="702"/>
      <c r="C43" s="655" t="str">
        <f>IF('0 Úvod'!$M$10="English",Slovnik!D53,Slovnik!C53)</f>
        <v>Výstavba</v>
      </c>
      <c r="D43" s="740">
        <f t="shared" si="13"/>
        <v>0</v>
      </c>
      <c r="E43" s="700"/>
      <c r="F43" s="700"/>
      <c r="G43" s="700"/>
      <c r="H43" s="700"/>
      <c r="I43" s="700"/>
      <c r="J43" s="700"/>
      <c r="K43" s="700"/>
      <c r="L43" s="700"/>
      <c r="M43" s="700"/>
      <c r="N43" s="700"/>
      <c r="O43" s="700"/>
      <c r="P43" s="700"/>
      <c r="Q43" s="700"/>
      <c r="R43" s="700"/>
      <c r="S43" s="700"/>
      <c r="T43" s="701"/>
    </row>
    <row r="44" spans="1:20" ht="14.25" hidden="1" x14ac:dyDescent="0.3">
      <c r="A44" s="17"/>
      <c r="B44" s="702"/>
      <c r="C44" s="655" t="str">
        <f>IF('0 Úvod'!$M$10="English",Slovnik!D54,Slovnik!C54)</f>
        <v xml:space="preserve">Prostory a strojní zařízení nebo vybavení </v>
      </c>
      <c r="D44" s="740">
        <f t="shared" si="13"/>
        <v>0</v>
      </c>
      <c r="E44" s="700"/>
      <c r="F44" s="700"/>
      <c r="G44" s="700"/>
      <c r="H44" s="700"/>
      <c r="I44" s="700"/>
      <c r="J44" s="700"/>
      <c r="K44" s="700"/>
      <c r="L44" s="700"/>
      <c r="M44" s="700"/>
      <c r="N44" s="700"/>
      <c r="O44" s="700"/>
      <c r="P44" s="700"/>
      <c r="Q44" s="700"/>
      <c r="R44" s="700"/>
      <c r="S44" s="700"/>
      <c r="T44" s="701"/>
    </row>
    <row r="45" spans="1:20" ht="14.25" hidden="1" x14ac:dyDescent="0.3">
      <c r="A45" s="17"/>
      <c r="B45" s="702"/>
      <c r="C45" s="655" t="str">
        <f>IF('0 Úvod'!$M$10="English",Slovnik!D55,Slovnik!C55)</f>
        <v>Nepředvídané události</v>
      </c>
      <c r="D45" s="740">
        <f t="shared" si="13"/>
        <v>0</v>
      </c>
      <c r="E45" s="700"/>
      <c r="F45" s="700"/>
      <c r="G45" s="700"/>
      <c r="H45" s="700"/>
      <c r="I45" s="700"/>
      <c r="J45" s="700"/>
      <c r="K45" s="700"/>
      <c r="L45" s="700"/>
      <c r="M45" s="700"/>
      <c r="N45" s="700"/>
      <c r="O45" s="700"/>
      <c r="P45" s="700"/>
      <c r="Q45" s="700"/>
      <c r="R45" s="700"/>
      <c r="S45" s="700"/>
      <c r="T45" s="701"/>
    </row>
    <row r="46" spans="1:20" ht="14.25" hidden="1" x14ac:dyDescent="0.3">
      <c r="A46" s="17"/>
      <c r="B46" s="702"/>
      <c r="C46" s="655" t="str">
        <f>IF('0 Úvod'!$M$10="English",Slovnik!D56,Slovnik!C56)</f>
        <v>Úprava ceny (v příslušném případě)</v>
      </c>
      <c r="D46" s="740">
        <f t="shared" si="13"/>
        <v>0</v>
      </c>
      <c r="E46" s="700"/>
      <c r="F46" s="700"/>
      <c r="G46" s="700"/>
      <c r="H46" s="700"/>
      <c r="I46" s="700"/>
      <c r="J46" s="700"/>
      <c r="K46" s="700"/>
      <c r="L46" s="700"/>
      <c r="M46" s="700"/>
      <c r="N46" s="700"/>
      <c r="O46" s="700"/>
      <c r="P46" s="700"/>
      <c r="Q46" s="700"/>
      <c r="R46" s="700"/>
      <c r="S46" s="700"/>
      <c r="T46" s="701"/>
    </row>
    <row r="47" spans="1:20" ht="14.25" hidden="1" x14ac:dyDescent="0.3">
      <c r="A47" s="17"/>
      <c r="B47" s="702"/>
      <c r="C47" s="655" t="str">
        <f>IF('0 Úvod'!$M$10="English",Slovnik!D57,Slovnik!C57)</f>
        <v>Propagace</v>
      </c>
      <c r="D47" s="740">
        <f t="shared" si="13"/>
        <v>0</v>
      </c>
      <c r="E47" s="700"/>
      <c r="F47" s="700"/>
      <c r="G47" s="700"/>
      <c r="H47" s="700"/>
      <c r="I47" s="700"/>
      <c r="J47" s="700"/>
      <c r="K47" s="700"/>
      <c r="L47" s="700"/>
      <c r="M47" s="700"/>
      <c r="N47" s="700"/>
      <c r="O47" s="700"/>
      <c r="P47" s="700"/>
      <c r="Q47" s="700"/>
      <c r="R47" s="700"/>
      <c r="S47" s="700"/>
      <c r="T47" s="701"/>
    </row>
    <row r="48" spans="1:20" ht="14.25" hidden="1" x14ac:dyDescent="0.3">
      <c r="A48" s="17"/>
      <c r="B48" s="702"/>
      <c r="C48" s="655" t="str">
        <f>IF('0 Úvod'!$M$10="English",Slovnik!D58,Slovnik!C58)</f>
        <v>Dozor v průběhu provádění výstavby</v>
      </c>
      <c r="D48" s="740">
        <f t="shared" si="13"/>
        <v>0</v>
      </c>
      <c r="E48" s="700"/>
      <c r="F48" s="700"/>
      <c r="G48" s="700"/>
      <c r="H48" s="700"/>
      <c r="I48" s="700"/>
      <c r="J48" s="700"/>
      <c r="K48" s="700"/>
      <c r="L48" s="700"/>
      <c r="M48" s="700"/>
      <c r="N48" s="700"/>
      <c r="O48" s="700"/>
      <c r="P48" s="700"/>
      <c r="Q48" s="700"/>
      <c r="R48" s="700"/>
      <c r="S48" s="700"/>
      <c r="T48" s="701"/>
    </row>
    <row r="49" spans="1:20" ht="14.25" hidden="1" x14ac:dyDescent="0.3">
      <c r="A49" s="17"/>
      <c r="B49" s="702"/>
      <c r="C49" s="655" t="str">
        <f>IF('0 Úvod'!$M$10="English",Slovnik!D59,Slovnik!C59)</f>
        <v>Technická pomoc</v>
      </c>
      <c r="D49" s="741">
        <f t="shared" si="13"/>
        <v>0</v>
      </c>
      <c r="E49" s="700"/>
      <c r="F49" s="700"/>
      <c r="G49" s="700"/>
      <c r="H49" s="700"/>
      <c r="I49" s="700"/>
      <c r="J49" s="700"/>
      <c r="K49" s="700"/>
      <c r="L49" s="700"/>
      <c r="M49" s="700"/>
      <c r="N49" s="700"/>
      <c r="O49" s="700"/>
      <c r="P49" s="700"/>
      <c r="Q49" s="700"/>
      <c r="R49" s="700"/>
      <c r="S49" s="700"/>
      <c r="T49" s="701"/>
    </row>
    <row r="50" spans="1:20" ht="14.25" hidden="1" x14ac:dyDescent="0.3">
      <c r="A50" s="17"/>
      <c r="B50" s="705"/>
      <c r="C50" s="706" t="str">
        <f>IF('0 Úvod'!$M$10="English",Slovnik!D60,Slovnik!C60)</f>
        <v>Celkové investiční náklady (běžné ceny)</v>
      </c>
      <c r="D50" s="742">
        <f t="shared" si="13"/>
        <v>0</v>
      </c>
      <c r="E50" s="708">
        <f t="shared" ref="E50:S50" si="14">SUM(E41:E49)</f>
        <v>0</v>
      </c>
      <c r="F50" s="662">
        <f t="shared" si="14"/>
        <v>0</v>
      </c>
      <c r="G50" s="662">
        <f t="shared" si="14"/>
        <v>0</v>
      </c>
      <c r="H50" s="662">
        <f t="shared" si="14"/>
        <v>0</v>
      </c>
      <c r="I50" s="662">
        <f t="shared" si="14"/>
        <v>0</v>
      </c>
      <c r="J50" s="662">
        <f t="shared" si="14"/>
        <v>0</v>
      </c>
      <c r="K50" s="662">
        <f t="shared" si="14"/>
        <v>0</v>
      </c>
      <c r="L50" s="662">
        <f t="shared" si="14"/>
        <v>0</v>
      </c>
      <c r="M50" s="662">
        <f t="shared" si="14"/>
        <v>0</v>
      </c>
      <c r="N50" s="662">
        <f t="shared" si="14"/>
        <v>0</v>
      </c>
      <c r="O50" s="662">
        <f t="shared" si="14"/>
        <v>0</v>
      </c>
      <c r="P50" s="662">
        <f t="shared" si="14"/>
        <v>0</v>
      </c>
      <c r="Q50" s="662">
        <f t="shared" si="14"/>
        <v>0</v>
      </c>
      <c r="R50" s="662">
        <f t="shared" si="14"/>
        <v>0</v>
      </c>
      <c r="S50" s="709">
        <f t="shared" si="14"/>
        <v>0</v>
      </c>
      <c r="T50" s="701"/>
    </row>
    <row r="51" spans="1:20" ht="14.25" hidden="1" x14ac:dyDescent="0.3">
      <c r="A51" s="17"/>
      <c r="B51" s="743"/>
      <c r="C51" s="744" t="str">
        <f>IF('0 Úvod'!M10="English",Slovnik!$D$44,Slovnik!$C$44)&amp;" "&amp;'0 Úvod'!N20*100&amp;" %"</f>
        <v>DPH 21 %</v>
      </c>
      <c r="D51" s="745">
        <f t="shared" si="13"/>
        <v>0</v>
      </c>
      <c r="E51" s="716">
        <f>(E50-E42)*'0 Úvod'!$N$20</f>
        <v>0</v>
      </c>
      <c r="F51" s="716">
        <f>(F50-F42)*'0 Úvod'!$N$20</f>
        <v>0</v>
      </c>
      <c r="G51" s="716">
        <f>(G50-G42)*'0 Úvod'!$N$20</f>
        <v>0</v>
      </c>
      <c r="H51" s="716">
        <f>(H50-H42)*'0 Úvod'!$N$20</f>
        <v>0</v>
      </c>
      <c r="I51" s="716">
        <f>(I50-I42)*'0 Úvod'!$N$20</f>
        <v>0</v>
      </c>
      <c r="J51" s="716">
        <f>(J50-J42)*'0 Úvod'!$N$20</f>
        <v>0</v>
      </c>
      <c r="K51" s="716">
        <f>(K50-K42)*'0 Úvod'!$N$20</f>
        <v>0</v>
      </c>
      <c r="L51" s="716">
        <f>(L50-L42)*'0 Úvod'!$N$20</f>
        <v>0</v>
      </c>
      <c r="M51" s="716">
        <f>(M50-M42)*'0 Úvod'!$N$20</f>
        <v>0</v>
      </c>
      <c r="N51" s="716">
        <f>(N50-N42)*'0 Úvod'!$N$20</f>
        <v>0</v>
      </c>
      <c r="O51" s="716">
        <f>(O50-O42)*'0 Úvod'!$N$20</f>
        <v>0</v>
      </c>
      <c r="P51" s="716">
        <f>(P50-P42)*'0 Úvod'!$N$20</f>
        <v>0</v>
      </c>
      <c r="Q51" s="716">
        <f>(Q50-Q42)*'0 Úvod'!$N$20</f>
        <v>0</v>
      </c>
      <c r="R51" s="716">
        <f>(R50-R42)*'0 Úvod'!$N$20</f>
        <v>0</v>
      </c>
      <c r="S51" s="716">
        <f>(S50-S42)*'0 Úvod'!$N$20</f>
        <v>0</v>
      </c>
      <c r="T51" s="701"/>
    </row>
    <row r="52" spans="1:20" ht="15" hidden="1" thickBot="1" x14ac:dyDescent="0.35">
      <c r="A52" s="17"/>
      <c r="B52" s="746"/>
      <c r="C52" s="747" t="str">
        <f>IF('0 Úvod'!$M$10="English",Slovnik!D61,Slovnik!C61)</f>
        <v>Celkové invest. náklady vč. DPH (běžné ceny)</v>
      </c>
      <c r="D52" s="748">
        <f t="shared" si="13"/>
        <v>0</v>
      </c>
      <c r="E52" s="720">
        <f t="shared" ref="E52:S52" si="15">E51+E50</f>
        <v>0</v>
      </c>
      <c r="F52" s="721">
        <f t="shared" si="15"/>
        <v>0</v>
      </c>
      <c r="G52" s="721">
        <f t="shared" si="15"/>
        <v>0</v>
      </c>
      <c r="H52" s="721">
        <f t="shared" si="15"/>
        <v>0</v>
      </c>
      <c r="I52" s="721">
        <f t="shared" si="15"/>
        <v>0</v>
      </c>
      <c r="J52" s="721">
        <f t="shared" si="15"/>
        <v>0</v>
      </c>
      <c r="K52" s="721">
        <f t="shared" si="15"/>
        <v>0</v>
      </c>
      <c r="L52" s="721">
        <f t="shared" si="15"/>
        <v>0</v>
      </c>
      <c r="M52" s="721">
        <f t="shared" si="15"/>
        <v>0</v>
      </c>
      <c r="N52" s="721">
        <f t="shared" si="15"/>
        <v>0</v>
      </c>
      <c r="O52" s="721">
        <f t="shared" si="15"/>
        <v>0</v>
      </c>
      <c r="P52" s="721">
        <f t="shared" si="15"/>
        <v>0</v>
      </c>
      <c r="Q52" s="721">
        <f t="shared" si="15"/>
        <v>0</v>
      </c>
      <c r="R52" s="721">
        <f t="shared" si="15"/>
        <v>0</v>
      </c>
      <c r="S52" s="722">
        <f t="shared" si="15"/>
        <v>0</v>
      </c>
      <c r="T52" s="701"/>
    </row>
    <row r="53" spans="1:20" ht="13.5" hidden="1" x14ac:dyDescent="0.3">
      <c r="A53" s="17"/>
      <c r="B53" s="634"/>
      <c r="C53" s="634"/>
      <c r="D53" s="635"/>
      <c r="E53" s="636"/>
      <c r="F53" s="636"/>
      <c r="G53" s="636"/>
      <c r="H53" s="636"/>
      <c r="I53" s="636"/>
      <c r="J53" s="636"/>
      <c r="K53" s="636"/>
      <c r="L53" s="636"/>
      <c r="M53" s="636"/>
      <c r="N53" s="636"/>
      <c r="O53" s="636"/>
      <c r="P53" s="636"/>
      <c r="Q53" s="636"/>
      <c r="R53" s="636"/>
      <c r="S53" s="636"/>
    </row>
    <row r="54" spans="1:20" ht="14.25" hidden="1" x14ac:dyDescent="0.3">
      <c r="A54" s="17"/>
      <c r="B54" s="723" t="s">
        <v>6</v>
      </c>
      <c r="C54" s="724" t="str">
        <f>IF('0 Úvod'!$M$10="English",Slovnik!$D$48,Slovnik!$C$48)</f>
        <v>Celkové investiční náklady (CZK)</v>
      </c>
      <c r="D54" s="725"/>
      <c r="E54" s="726"/>
      <c r="F54" s="727"/>
      <c r="G54" s="727"/>
      <c r="H54" s="727"/>
      <c r="I54" s="727"/>
      <c r="J54" s="727"/>
      <c r="K54" s="727"/>
      <c r="L54" s="727"/>
      <c r="M54" s="727"/>
      <c r="N54" s="727"/>
      <c r="O54" s="727"/>
      <c r="P54" s="727"/>
      <c r="Q54" s="727"/>
      <c r="R54" s="727"/>
      <c r="S54" s="728"/>
    </row>
    <row r="55" spans="1:20" ht="14.25" hidden="1" x14ac:dyDescent="0.3">
      <c r="A55" s="17"/>
      <c r="B55" s="729" t="s">
        <v>5</v>
      </c>
      <c r="C55" s="730" t="str">
        <f>IF('0 Úvod'!$M$10="English",Slovnik!$D$49,Slovnik!$C$49)</f>
        <v>(běžné ceny)</v>
      </c>
      <c r="D55" s="1814"/>
      <c r="E55" s="731">
        <f>S39+1</f>
        <v>2041</v>
      </c>
      <c r="F55" s="732">
        <f>E55+1</f>
        <v>2042</v>
      </c>
      <c r="G55" s="732">
        <f t="shared" ref="G55:S55" si="16">F55+1</f>
        <v>2043</v>
      </c>
      <c r="H55" s="732">
        <f t="shared" si="16"/>
        <v>2044</v>
      </c>
      <c r="I55" s="732">
        <f t="shared" si="16"/>
        <v>2045</v>
      </c>
      <c r="J55" s="732">
        <f t="shared" si="16"/>
        <v>2046</v>
      </c>
      <c r="K55" s="732">
        <f t="shared" si="16"/>
        <v>2047</v>
      </c>
      <c r="L55" s="732">
        <f t="shared" si="16"/>
        <v>2048</v>
      </c>
      <c r="M55" s="732">
        <f t="shared" si="16"/>
        <v>2049</v>
      </c>
      <c r="N55" s="732">
        <f t="shared" si="16"/>
        <v>2050</v>
      </c>
      <c r="O55" s="732">
        <f t="shared" si="16"/>
        <v>2051</v>
      </c>
      <c r="P55" s="732">
        <f t="shared" si="16"/>
        <v>2052</v>
      </c>
      <c r="Q55" s="732">
        <f t="shared" si="16"/>
        <v>2053</v>
      </c>
      <c r="R55" s="732">
        <f t="shared" si="16"/>
        <v>2054</v>
      </c>
      <c r="S55" s="733">
        <f t="shared" si="16"/>
        <v>2055</v>
      </c>
    </row>
    <row r="56" spans="1:20" ht="15" hidden="1" thickBot="1" x14ac:dyDescent="0.35">
      <c r="A56" s="17"/>
      <c r="B56" s="734"/>
      <c r="C56" s="735" t="str">
        <f>IF('0 Úvod'!$M$10="English",Slovnik!D50,Slovnik!C50)</f>
        <v>Způsobilost nákladů **</v>
      </c>
      <c r="D56" s="1815"/>
      <c r="E56" s="736"/>
      <c r="F56" s="737"/>
      <c r="G56" s="737"/>
      <c r="H56" s="737"/>
      <c r="I56" s="737"/>
      <c r="J56" s="737"/>
      <c r="K56" s="737"/>
      <c r="L56" s="737"/>
      <c r="M56" s="737"/>
      <c r="N56" s="737"/>
      <c r="O56" s="737"/>
      <c r="P56" s="737"/>
      <c r="Q56" s="737"/>
      <c r="R56" s="737"/>
      <c r="S56" s="738"/>
    </row>
    <row r="57" spans="1:20" ht="14.25" hidden="1" x14ac:dyDescent="0.3">
      <c r="A57" s="17"/>
      <c r="B57" s="697"/>
      <c r="C57" s="698" t="str">
        <f>IF('0 Úvod'!$M$10="English",Slovnik!D51,Slovnik!C51)</f>
        <v>Poplatky za plány/stavební projekt</v>
      </c>
      <c r="D57" s="749"/>
      <c r="E57" s="700"/>
      <c r="F57" s="700"/>
      <c r="G57" s="700"/>
      <c r="H57" s="700"/>
      <c r="I57" s="700"/>
      <c r="J57" s="700"/>
      <c r="K57" s="700"/>
      <c r="L57" s="700"/>
      <c r="M57" s="700"/>
      <c r="N57" s="700"/>
      <c r="O57" s="700"/>
      <c r="P57" s="700"/>
      <c r="Q57" s="700"/>
      <c r="R57" s="700"/>
      <c r="S57" s="700"/>
      <c r="T57" s="701"/>
    </row>
    <row r="58" spans="1:20" ht="14.25" hidden="1" x14ac:dyDescent="0.3">
      <c r="A58" s="17"/>
      <c r="B58" s="702"/>
      <c r="C58" s="655" t="str">
        <f>IF('0 Úvod'!$M$10="English",Slovnik!D52,Slovnik!C52)</f>
        <v>Nákup pozemků</v>
      </c>
      <c r="D58" s="750"/>
      <c r="E58" s="700"/>
      <c r="F58" s="700"/>
      <c r="G58" s="700"/>
      <c r="H58" s="700"/>
      <c r="I58" s="700"/>
      <c r="J58" s="700"/>
      <c r="K58" s="700"/>
      <c r="L58" s="700"/>
      <c r="M58" s="700"/>
      <c r="N58" s="700"/>
      <c r="O58" s="700"/>
      <c r="P58" s="700"/>
      <c r="Q58" s="700"/>
      <c r="R58" s="700"/>
      <c r="S58" s="700"/>
      <c r="T58" s="701"/>
    </row>
    <row r="59" spans="1:20" ht="14.25" hidden="1" x14ac:dyDescent="0.3">
      <c r="A59" s="17"/>
      <c r="B59" s="702"/>
      <c r="C59" s="655" t="str">
        <f>IF('0 Úvod'!$M$10="English",Slovnik!D53,Slovnik!C53)</f>
        <v>Výstavba</v>
      </c>
      <c r="D59" s="750"/>
      <c r="E59" s="700"/>
      <c r="F59" s="700"/>
      <c r="G59" s="700"/>
      <c r="H59" s="700"/>
      <c r="I59" s="700"/>
      <c r="J59" s="700"/>
      <c r="K59" s="700"/>
      <c r="L59" s="700"/>
      <c r="M59" s="700"/>
      <c r="N59" s="700"/>
      <c r="O59" s="700"/>
      <c r="P59" s="700"/>
      <c r="Q59" s="700"/>
      <c r="R59" s="700"/>
      <c r="S59" s="700"/>
      <c r="T59" s="701"/>
    </row>
    <row r="60" spans="1:20" ht="14.25" hidden="1" x14ac:dyDescent="0.3">
      <c r="A60" s="17"/>
      <c r="B60" s="702"/>
      <c r="C60" s="655" t="str">
        <f>IF('0 Úvod'!$M$10="English",Slovnik!D54,Slovnik!C54)</f>
        <v xml:space="preserve">Prostory a strojní zařízení nebo vybavení </v>
      </c>
      <c r="D60" s="750"/>
      <c r="E60" s="700"/>
      <c r="F60" s="700"/>
      <c r="G60" s="700"/>
      <c r="H60" s="700"/>
      <c r="I60" s="700"/>
      <c r="J60" s="700"/>
      <c r="K60" s="700"/>
      <c r="L60" s="700"/>
      <c r="M60" s="700"/>
      <c r="N60" s="700"/>
      <c r="O60" s="700"/>
      <c r="P60" s="700"/>
      <c r="Q60" s="700"/>
      <c r="R60" s="700"/>
      <c r="S60" s="700"/>
      <c r="T60" s="701"/>
    </row>
    <row r="61" spans="1:20" ht="14.25" hidden="1" x14ac:dyDescent="0.3">
      <c r="A61" s="17"/>
      <c r="B61" s="702"/>
      <c r="C61" s="655" t="str">
        <f>IF('0 Úvod'!$M$10="English",Slovnik!D55,Slovnik!C55)</f>
        <v>Nepředvídané události</v>
      </c>
      <c r="D61" s="750"/>
      <c r="E61" s="700"/>
      <c r="F61" s="700"/>
      <c r="G61" s="700"/>
      <c r="H61" s="700"/>
      <c r="I61" s="700"/>
      <c r="J61" s="700"/>
      <c r="K61" s="700"/>
      <c r="L61" s="700"/>
      <c r="M61" s="700"/>
      <c r="N61" s="700"/>
      <c r="O61" s="700"/>
      <c r="P61" s="700"/>
      <c r="Q61" s="700"/>
      <c r="R61" s="700"/>
      <c r="S61" s="700"/>
      <c r="T61" s="701"/>
    </row>
    <row r="62" spans="1:20" ht="14.25" hidden="1" x14ac:dyDescent="0.3">
      <c r="A62" s="17"/>
      <c r="B62" s="702"/>
      <c r="C62" s="655" t="str">
        <f>IF('0 Úvod'!$M$10="English",Slovnik!D56,Slovnik!C56)</f>
        <v>Úprava ceny (v příslušném případě)</v>
      </c>
      <c r="D62" s="750"/>
      <c r="E62" s="700"/>
      <c r="F62" s="700"/>
      <c r="G62" s="700"/>
      <c r="H62" s="700"/>
      <c r="I62" s="700"/>
      <c r="J62" s="700"/>
      <c r="K62" s="700"/>
      <c r="L62" s="700"/>
      <c r="M62" s="700"/>
      <c r="N62" s="700"/>
      <c r="O62" s="700"/>
      <c r="P62" s="700"/>
      <c r="Q62" s="700"/>
      <c r="R62" s="700"/>
      <c r="S62" s="700"/>
      <c r="T62" s="701"/>
    </row>
    <row r="63" spans="1:20" ht="14.25" hidden="1" x14ac:dyDescent="0.3">
      <c r="A63" s="17"/>
      <c r="B63" s="702"/>
      <c r="C63" s="655" t="str">
        <f>IF('0 Úvod'!$M$10="English",Slovnik!D57,Slovnik!C57)</f>
        <v>Propagace</v>
      </c>
      <c r="D63" s="750"/>
      <c r="E63" s="700"/>
      <c r="F63" s="700"/>
      <c r="G63" s="700"/>
      <c r="H63" s="700"/>
      <c r="I63" s="700"/>
      <c r="J63" s="700"/>
      <c r="K63" s="700"/>
      <c r="L63" s="700"/>
      <c r="M63" s="700"/>
      <c r="N63" s="700"/>
      <c r="O63" s="700"/>
      <c r="P63" s="700"/>
      <c r="Q63" s="700"/>
      <c r="R63" s="700"/>
      <c r="S63" s="700"/>
      <c r="T63" s="701"/>
    </row>
    <row r="64" spans="1:20" ht="14.25" hidden="1" x14ac:dyDescent="0.3">
      <c r="A64" s="17"/>
      <c r="B64" s="702"/>
      <c r="C64" s="655" t="str">
        <f>IF('0 Úvod'!$M$10="English",Slovnik!D58,Slovnik!C58)</f>
        <v>Dozor v průběhu provádění výstavby</v>
      </c>
      <c r="D64" s="750"/>
      <c r="E64" s="700"/>
      <c r="F64" s="700"/>
      <c r="G64" s="700"/>
      <c r="H64" s="700"/>
      <c r="I64" s="700"/>
      <c r="J64" s="700"/>
      <c r="K64" s="700"/>
      <c r="L64" s="700"/>
      <c r="M64" s="700"/>
      <c r="N64" s="700"/>
      <c r="O64" s="700"/>
      <c r="P64" s="700"/>
      <c r="Q64" s="700"/>
      <c r="R64" s="700"/>
      <c r="S64" s="700"/>
      <c r="T64" s="701"/>
    </row>
    <row r="65" spans="1:20" ht="14.25" hidden="1" x14ac:dyDescent="0.3">
      <c r="A65" s="17"/>
      <c r="B65" s="702"/>
      <c r="C65" s="655" t="str">
        <f>IF('0 Úvod'!$M$10="English",Slovnik!D59,Slovnik!C59)</f>
        <v>Technická pomoc</v>
      </c>
      <c r="D65" s="750"/>
      <c r="E65" s="700"/>
      <c r="F65" s="700"/>
      <c r="G65" s="700"/>
      <c r="H65" s="700"/>
      <c r="I65" s="700"/>
      <c r="J65" s="700"/>
      <c r="K65" s="700"/>
      <c r="L65" s="700"/>
      <c r="M65" s="700"/>
      <c r="N65" s="700"/>
      <c r="O65" s="700"/>
      <c r="P65" s="700"/>
      <c r="Q65" s="700"/>
      <c r="R65" s="700"/>
      <c r="S65" s="700"/>
      <c r="T65" s="701"/>
    </row>
    <row r="66" spans="1:20" ht="14.25" hidden="1" x14ac:dyDescent="0.3">
      <c r="A66" s="17"/>
      <c r="B66" s="705"/>
      <c r="C66" s="706" t="str">
        <f>IF('0 Úvod'!$M$10="English",Slovnik!D60,Slovnik!C60)</f>
        <v>Celkové investiční náklady (běžné ceny)</v>
      </c>
      <c r="D66" s="751"/>
      <c r="E66" s="708">
        <f t="shared" ref="E66:S66" si="17">SUM(E57:E65)</f>
        <v>0</v>
      </c>
      <c r="F66" s="662">
        <f t="shared" si="17"/>
        <v>0</v>
      </c>
      <c r="G66" s="662">
        <f t="shared" si="17"/>
        <v>0</v>
      </c>
      <c r="H66" s="662">
        <f t="shared" si="17"/>
        <v>0</v>
      </c>
      <c r="I66" s="662">
        <f t="shared" si="17"/>
        <v>0</v>
      </c>
      <c r="J66" s="662">
        <f t="shared" si="17"/>
        <v>0</v>
      </c>
      <c r="K66" s="662">
        <f t="shared" si="17"/>
        <v>0</v>
      </c>
      <c r="L66" s="662">
        <f t="shared" si="17"/>
        <v>0</v>
      </c>
      <c r="M66" s="662">
        <f t="shared" si="17"/>
        <v>0</v>
      </c>
      <c r="N66" s="662">
        <f t="shared" si="17"/>
        <v>0</v>
      </c>
      <c r="O66" s="662">
        <f t="shared" si="17"/>
        <v>0</v>
      </c>
      <c r="P66" s="662">
        <f t="shared" si="17"/>
        <v>0</v>
      </c>
      <c r="Q66" s="662">
        <f t="shared" si="17"/>
        <v>0</v>
      </c>
      <c r="R66" s="662">
        <f t="shared" si="17"/>
        <v>0</v>
      </c>
      <c r="S66" s="709">
        <f t="shared" si="17"/>
        <v>0</v>
      </c>
      <c r="T66" s="701"/>
    </row>
    <row r="67" spans="1:20" ht="15" hidden="1" thickBot="1" x14ac:dyDescent="0.35">
      <c r="A67" s="17"/>
      <c r="B67" s="713"/>
      <c r="C67" s="714" t="str">
        <f>IF('0 Úvod'!M10="English",Slovnik!$D$44,Slovnik!$C$44)&amp;" "&amp;'0 Úvod'!N20*100&amp;" %"</f>
        <v>DPH 21 %</v>
      </c>
      <c r="D67" s="752"/>
      <c r="E67" s="716">
        <f>(E66-E58)*'0 Úvod'!$N$20</f>
        <v>0</v>
      </c>
      <c r="F67" s="716">
        <f>(F66-F58)*'0 Úvod'!$N$20</f>
        <v>0</v>
      </c>
      <c r="G67" s="716">
        <f>(G66-G58)*'0 Úvod'!$N$20</f>
        <v>0</v>
      </c>
      <c r="H67" s="716">
        <f>(H66-H58)*'0 Úvod'!$N$20</f>
        <v>0</v>
      </c>
      <c r="I67" s="716">
        <f>(I66-I58)*'0 Úvod'!$N$20</f>
        <v>0</v>
      </c>
      <c r="J67" s="716">
        <f>(J66-J58)*'0 Úvod'!$N$20</f>
        <v>0</v>
      </c>
      <c r="K67" s="716">
        <f>(K66-K58)*'0 Úvod'!$N$20</f>
        <v>0</v>
      </c>
      <c r="L67" s="716">
        <f>(L66-L58)*'0 Úvod'!$N$20</f>
        <v>0</v>
      </c>
      <c r="M67" s="716">
        <f>(M66-M58)*'0 Úvod'!$N$20</f>
        <v>0</v>
      </c>
      <c r="N67" s="716">
        <f>(N66-N58)*'0 Úvod'!$N$20</f>
        <v>0</v>
      </c>
      <c r="O67" s="716">
        <f>(O66-O58)*'0 Úvod'!$N$20</f>
        <v>0</v>
      </c>
      <c r="P67" s="716">
        <f>(P66-P58)*'0 Úvod'!$N$20</f>
        <v>0</v>
      </c>
      <c r="Q67" s="716">
        <f>(Q66-Q58)*'0 Úvod'!$N$20</f>
        <v>0</v>
      </c>
      <c r="R67" s="716">
        <f>(R66-R58)*'0 Úvod'!$N$20</f>
        <v>0</v>
      </c>
      <c r="S67" s="716">
        <f>(S66-S58)*'0 Úvod'!$N$20</f>
        <v>0</v>
      </c>
      <c r="T67" s="701"/>
    </row>
    <row r="68" spans="1:20" ht="15" hidden="1" thickBot="1" x14ac:dyDescent="0.35">
      <c r="A68" s="17"/>
      <c r="B68" s="717"/>
      <c r="C68" s="718" t="str">
        <f>IF('0 Úvod'!$M$10="English",Slovnik!D61,Slovnik!C61)</f>
        <v>Celkové invest. náklady vč. DPH (běžné ceny)</v>
      </c>
      <c r="D68" s="753"/>
      <c r="E68" s="720">
        <f t="shared" ref="E68:S68" si="18">E67+E66</f>
        <v>0</v>
      </c>
      <c r="F68" s="721">
        <f t="shared" si="18"/>
        <v>0</v>
      </c>
      <c r="G68" s="721">
        <f t="shared" si="18"/>
        <v>0</v>
      </c>
      <c r="H68" s="721">
        <f t="shared" si="18"/>
        <v>0</v>
      </c>
      <c r="I68" s="721">
        <f t="shared" si="18"/>
        <v>0</v>
      </c>
      <c r="J68" s="721">
        <f t="shared" si="18"/>
        <v>0</v>
      </c>
      <c r="K68" s="721">
        <f t="shared" si="18"/>
        <v>0</v>
      </c>
      <c r="L68" s="721">
        <f t="shared" si="18"/>
        <v>0</v>
      </c>
      <c r="M68" s="721">
        <f t="shared" si="18"/>
        <v>0</v>
      </c>
      <c r="N68" s="721">
        <f t="shared" si="18"/>
        <v>0</v>
      </c>
      <c r="O68" s="721">
        <f t="shared" si="18"/>
        <v>0</v>
      </c>
      <c r="P68" s="721">
        <f t="shared" si="18"/>
        <v>0</v>
      </c>
      <c r="Q68" s="721">
        <f t="shared" si="18"/>
        <v>0</v>
      </c>
      <c r="R68" s="721">
        <f t="shared" si="18"/>
        <v>0</v>
      </c>
      <c r="S68" s="722">
        <f t="shared" si="18"/>
        <v>0</v>
      </c>
      <c r="T68" s="701"/>
    </row>
    <row r="69" spans="1:20" ht="13.5" hidden="1" x14ac:dyDescent="0.3">
      <c r="A69" s="17"/>
      <c r="B69" s="634"/>
      <c r="C69" s="634"/>
      <c r="D69" s="635"/>
      <c r="E69" s="636"/>
      <c r="F69" s="636"/>
      <c r="G69" s="636"/>
      <c r="H69" s="636"/>
      <c r="I69" s="636"/>
      <c r="J69" s="636"/>
      <c r="K69" s="636"/>
      <c r="L69" s="636"/>
      <c r="M69" s="636"/>
      <c r="N69" s="636"/>
      <c r="O69" s="636"/>
      <c r="P69" s="636"/>
      <c r="Q69" s="636"/>
      <c r="R69" s="636"/>
      <c r="S69" s="636"/>
    </row>
    <row r="70" spans="1:20" ht="14.25" hidden="1" thickBot="1" x14ac:dyDescent="0.35">
      <c r="A70" s="17"/>
      <c r="B70" s="17"/>
      <c r="C70" s="17"/>
      <c r="D70" s="635"/>
      <c r="E70" s="636"/>
      <c r="F70" s="636"/>
      <c r="G70" s="636"/>
      <c r="H70" s="636"/>
      <c r="I70" s="636"/>
      <c r="J70" s="636"/>
      <c r="K70" s="636"/>
      <c r="L70" s="636"/>
      <c r="M70" s="636"/>
      <c r="N70" s="636"/>
      <c r="O70" s="636"/>
      <c r="P70" s="636"/>
      <c r="Q70" s="636"/>
      <c r="R70" s="636"/>
      <c r="S70" s="636"/>
    </row>
    <row r="71" spans="1:20" ht="14.25" customHeight="1" x14ac:dyDescent="0.3">
      <c r="A71" s="17"/>
      <c r="B71" s="1816" t="str">
        <f>IF('0 Úvod'!$M$10="English",Slovnik!$D$64,Slovnik!$C$64)</f>
        <v>Komentáře</v>
      </c>
      <c r="C71" s="1817"/>
      <c r="D71" s="1817"/>
      <c r="E71" s="1817"/>
      <c r="F71" s="1817"/>
      <c r="G71" s="1817"/>
      <c r="H71" s="1817"/>
      <c r="I71" s="1817"/>
      <c r="J71" s="1817"/>
      <c r="K71" s="1817"/>
      <c r="L71" s="1817"/>
      <c r="M71" s="1817"/>
      <c r="N71" s="1817"/>
      <c r="O71" s="1817"/>
      <c r="P71" s="1817"/>
      <c r="Q71" s="1817"/>
      <c r="R71" s="1817"/>
      <c r="S71" s="1818"/>
    </row>
    <row r="72" spans="1:20" ht="14.25" customHeight="1" thickBot="1" x14ac:dyDescent="0.35">
      <c r="A72" s="17"/>
      <c r="B72" s="1819"/>
      <c r="C72" s="1820"/>
      <c r="D72" s="1820"/>
      <c r="E72" s="1820"/>
      <c r="F72" s="1820"/>
      <c r="G72" s="1820"/>
      <c r="H72" s="1820"/>
      <c r="I72" s="1820"/>
      <c r="J72" s="1820"/>
      <c r="K72" s="1820"/>
      <c r="L72" s="1820"/>
      <c r="M72" s="1820"/>
      <c r="N72" s="1820"/>
      <c r="O72" s="1820"/>
      <c r="P72" s="1820"/>
      <c r="Q72" s="1820"/>
      <c r="R72" s="1820"/>
      <c r="S72" s="1821"/>
    </row>
    <row r="73" spans="1:20" ht="14.25" x14ac:dyDescent="0.3">
      <c r="A73" s="17"/>
      <c r="B73" s="754" t="s">
        <v>1571</v>
      </c>
      <c r="C73" s="755"/>
      <c r="D73" s="17"/>
      <c r="E73" s="756"/>
      <c r="F73" s="17"/>
      <c r="G73" s="17"/>
      <c r="H73" s="17"/>
      <c r="I73" s="17"/>
      <c r="J73" s="17"/>
      <c r="K73" s="17"/>
      <c r="L73" s="17"/>
      <c r="M73" s="17"/>
      <c r="N73" s="17"/>
      <c r="O73" s="757"/>
      <c r="P73" s="757"/>
      <c r="Q73" s="757"/>
      <c r="R73" s="757"/>
      <c r="S73" s="758"/>
    </row>
    <row r="74" spans="1:20" ht="15" thickBot="1" x14ac:dyDescent="0.35">
      <c r="A74" s="17"/>
      <c r="B74" s="759"/>
      <c r="C74" s="760"/>
      <c r="D74" s="760"/>
      <c r="E74" s="761"/>
      <c r="F74" s="760"/>
      <c r="G74" s="760"/>
      <c r="H74" s="760"/>
      <c r="I74" s="760"/>
      <c r="J74" s="760"/>
      <c r="K74" s="760"/>
      <c r="L74" s="760"/>
      <c r="M74" s="760"/>
      <c r="N74" s="760"/>
      <c r="O74" s="760"/>
      <c r="P74" s="760"/>
      <c r="Q74" s="760"/>
      <c r="R74" s="760"/>
      <c r="S74" s="762"/>
    </row>
    <row r="75" spans="1:20" x14ac:dyDescent="0.2">
      <c r="A75" s="763"/>
      <c r="B75" s="764"/>
      <c r="C75" s="764"/>
      <c r="D75" s="763"/>
      <c r="E75" s="763"/>
      <c r="F75" s="763"/>
      <c r="G75" s="763"/>
      <c r="H75" s="763"/>
      <c r="I75" s="763"/>
      <c r="J75" s="763"/>
      <c r="K75" s="763"/>
      <c r="L75" s="763"/>
      <c r="M75" s="763"/>
      <c r="N75" s="763"/>
      <c r="O75" s="763"/>
      <c r="P75" s="763"/>
      <c r="Q75" s="763"/>
      <c r="R75" s="763"/>
      <c r="S75" s="763"/>
    </row>
    <row r="76" spans="1:20" x14ac:dyDescent="0.2">
      <c r="B76" s="765"/>
      <c r="C76" s="765"/>
      <c r="I76" s="672"/>
      <c r="J76" s="637"/>
    </row>
    <row r="77" spans="1:20" x14ac:dyDescent="0.2">
      <c r="C77" s="766"/>
    </row>
  </sheetData>
  <sheetProtection algorithmName="SHA-512" hashValue="aKLJJXVENyPnBWLW1QdlrSpsCG4WT+sy5DJ+lU36rYJFctlT6IAcGUQSVgO7Vkxwdc80AwulX2dp98f2yf8dbg==" saltValue="0qS6os7OQ0CW68+9nN56XQ==" spinCount="100000" sheet="1" objects="1" scenarios="1"/>
  <mergeCells count="5">
    <mergeCell ref="D55:D56"/>
    <mergeCell ref="B71:S72"/>
    <mergeCell ref="D3:D4"/>
    <mergeCell ref="D23:D24"/>
    <mergeCell ref="D39:D40"/>
  </mergeCells>
  <phoneticPr fontId="0" type="noConversion"/>
  <pageMargins left="0.39370078740157483" right="0.35433070866141736" top="0.98425196850393704" bottom="0.78740157480314965" header="0.39370078740157483" footer="0.39370078740157483"/>
  <pageSetup paperSize="192" scale="52" orientation="landscape" r:id="rId1"/>
  <headerFooter alignWithMargins="0">
    <oddFooter>&amp;L&amp;A&amp;C&amp;D</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ist6">
    <pageSetUpPr fitToPage="1"/>
  </sheetPr>
  <dimension ref="B1:Q79"/>
  <sheetViews>
    <sheetView defaultGridColor="0" colorId="23" zoomScaleNormal="100" workbookViewId="0">
      <selection activeCell="I50" sqref="I50:J50"/>
    </sheetView>
  </sheetViews>
  <sheetFormatPr defaultColWidth="9.140625" defaultRowHeight="13.5" x14ac:dyDescent="0.3"/>
  <cols>
    <col min="1" max="1" width="2.7109375" style="12" customWidth="1"/>
    <col min="2" max="2" width="8.7109375" style="12" customWidth="1"/>
    <col min="3" max="3" width="48.28515625" style="12" bestFit="1" customWidth="1"/>
    <col min="4" max="4" width="15.7109375" style="70" customWidth="1"/>
    <col min="5" max="6" width="14.7109375" style="71" customWidth="1"/>
    <col min="7" max="7" width="8.7109375" style="12" customWidth="1"/>
    <col min="8" max="8" width="49.7109375" style="12" customWidth="1"/>
    <col min="9" max="9" width="17.42578125" style="12" customWidth="1"/>
    <col min="10" max="10" width="15.7109375" style="12" customWidth="1"/>
    <col min="11" max="29" width="10.7109375" style="12" customWidth="1"/>
    <col min="30" max="16384" width="9.140625" style="12"/>
  </cols>
  <sheetData>
    <row r="1" spans="2:9" ht="17.25" thickBot="1" x14ac:dyDescent="0.35">
      <c r="C1" s="66"/>
      <c r="D1" s="67"/>
      <c r="E1" s="68"/>
      <c r="F1" s="68"/>
      <c r="G1" s="69"/>
    </row>
    <row r="2" spans="2:9" ht="33" customHeight="1" thickBot="1" x14ac:dyDescent="0.35">
      <c r="B2" s="79" t="s">
        <v>7</v>
      </c>
      <c r="C2" s="80" t="str">
        <f>IF('0 Úvod'!$M$10="English",Slovnik!$D$70,Slovnik!$C$70)</f>
        <v>Životnost investice (roky)</v>
      </c>
      <c r="D2" s="81" t="str">
        <f>IF('0 Úvod'!$M$10="English",Slovnik!$D$105,Slovnik!$C$105)</f>
        <v>Náklady (CZK)</v>
      </c>
      <c r="E2" s="81" t="str">
        <f>IF('0 Úvod'!$M$10="English",Slovnik!$D$106,Slovnik!$C$106)</f>
        <v>Vážení</v>
      </c>
      <c r="F2" s="78"/>
      <c r="G2" s="554" t="s">
        <v>8</v>
      </c>
      <c r="H2" s="556" t="str">
        <f>IF('0 Úvod'!$M$10="English",Slovnik!$D$108,Slovnik!$C$108)</f>
        <v>Životnost jednotlivých prvků dle dopravních módů</v>
      </c>
      <c r="I2" s="560" t="str">
        <f>IF('0 Úvod'!$M$10="English",Slovnik!$D$109,Slovnik!$C$109)</f>
        <v>ekonomická životnost v letech</v>
      </c>
    </row>
    <row r="3" spans="2:9" ht="14.25" customHeight="1" x14ac:dyDescent="0.3">
      <c r="B3" s="1835" t="str">
        <f>IF('0 Úvod'!$M$10="English",Slovnik!$D$67,Slovnik!$C$67)</f>
        <v>ŽELEZNIČNÍ A OSTATNÍ INFRASTRUKTURA*</v>
      </c>
      <c r="C3" s="447" t="str">
        <f>IF('0 Úvod'!$M$10="English",Slovnik!D71,Slovnik!C71)</f>
        <v>Zabezpečovací zařízení</v>
      </c>
      <c r="D3" s="110"/>
      <c r="E3" s="443">
        <f t="shared" ref="E3:E37" si="0">D3*I3</f>
        <v>0</v>
      </c>
      <c r="F3" s="74"/>
      <c r="G3" s="1843" t="str">
        <f>IF('0 Úvod'!$M$10="English",Slovnik!$D$67,Slovnik!$C$67)</f>
        <v>ŽELEZNIČNÍ A OSTATNÍ INFRASTRUKTURA*</v>
      </c>
      <c r="H3" s="557" t="str">
        <f>IF('0 Úvod'!$M$10="English",Slovnik!D71,Slovnik!C71)</f>
        <v>Zabezpečovací zařízení</v>
      </c>
      <c r="I3" s="561">
        <v>20</v>
      </c>
    </row>
    <row r="4" spans="2:9" ht="14.25" x14ac:dyDescent="0.3">
      <c r="B4" s="1836"/>
      <c r="C4" s="448" t="str">
        <f>IF('0 Úvod'!$M$10="English",Slovnik!D72,Slovnik!C72)</f>
        <v>Sdělovací zařízení</v>
      </c>
      <c r="D4" s="110"/>
      <c r="E4" s="444">
        <f t="shared" si="0"/>
        <v>0</v>
      </c>
      <c r="F4" s="74"/>
      <c r="G4" s="1843"/>
      <c r="H4" s="558" t="str">
        <f>IF('0 Úvod'!$M$10="English",Slovnik!D72,Slovnik!C72)</f>
        <v>Sdělovací zařízení</v>
      </c>
      <c r="I4" s="561">
        <v>20</v>
      </c>
    </row>
    <row r="5" spans="2:9" ht="14.25" x14ac:dyDescent="0.3">
      <c r="B5" s="1836"/>
      <c r="C5" s="448" t="str">
        <f>IF('0 Úvod'!$M$10="English",Slovnik!D73,Slovnik!C73)</f>
        <v>Silnoproudé rozvody a zařízení</v>
      </c>
      <c r="D5" s="110"/>
      <c r="E5" s="444">
        <f t="shared" si="0"/>
        <v>0</v>
      </c>
      <c r="F5" s="74"/>
      <c r="G5" s="1843"/>
      <c r="H5" s="558" t="str">
        <f>IF('0 Úvod'!$M$10="English",Slovnik!D73,Slovnik!C73)</f>
        <v>Silnoproudé rozvody a zařízení</v>
      </c>
      <c r="I5" s="561">
        <v>20</v>
      </c>
    </row>
    <row r="6" spans="2:9" ht="14.25" x14ac:dyDescent="0.3">
      <c r="B6" s="1836"/>
      <c r="C6" s="448" t="str">
        <f>IF('0 Úvod'!$M$10="English",Slovnik!D74,Slovnik!C74)</f>
        <v>Železniční svršek</v>
      </c>
      <c r="D6" s="110"/>
      <c r="E6" s="444">
        <f t="shared" si="0"/>
        <v>0</v>
      </c>
      <c r="F6" s="74"/>
      <c r="G6" s="1843"/>
      <c r="H6" s="558" t="str">
        <f>IF('0 Úvod'!$M$10="English",Slovnik!D74,Slovnik!C74)</f>
        <v>Železniční svršek</v>
      </c>
      <c r="I6" s="561">
        <v>30</v>
      </c>
    </row>
    <row r="7" spans="2:9" ht="14.25" x14ac:dyDescent="0.3">
      <c r="B7" s="1836"/>
      <c r="C7" s="448" t="str">
        <f>IF('0 Úvod'!$M$10="English",Slovnik!D75,Slovnik!C75)</f>
        <v>Železniční spodek</v>
      </c>
      <c r="D7" s="110"/>
      <c r="E7" s="444">
        <f t="shared" si="0"/>
        <v>0</v>
      </c>
      <c r="F7" s="74"/>
      <c r="G7" s="1843"/>
      <c r="H7" s="558" t="str">
        <f>IF('0 Úvod'!$M$10="English",Slovnik!D75,Slovnik!C75)</f>
        <v>Železniční spodek</v>
      </c>
      <c r="I7" s="561">
        <v>60</v>
      </c>
    </row>
    <row r="8" spans="2:9" ht="14.25" x14ac:dyDescent="0.3">
      <c r="B8" s="1836"/>
      <c r="C8" s="448" t="str">
        <f>IF('0 Úvod'!$M$10="English",Slovnik!D76,Slovnik!C76)</f>
        <v>Pevná jízdní dráha</v>
      </c>
      <c r="D8" s="110"/>
      <c r="E8" s="444">
        <f t="shared" si="0"/>
        <v>0</v>
      </c>
      <c r="F8" s="74"/>
      <c r="G8" s="1843"/>
      <c r="H8" s="558" t="str">
        <f>IF('0 Úvod'!$M$10="English",Slovnik!D76,Slovnik!C76)</f>
        <v>Pevná jízdní dráha</v>
      </c>
      <c r="I8" s="561">
        <v>50</v>
      </c>
    </row>
    <row r="9" spans="2:9" ht="14.25" x14ac:dyDescent="0.3">
      <c r="B9" s="1836"/>
      <c r="C9" s="448" t="str">
        <f>IF('0 Úvod'!$M$10="English",Slovnik!D77,Slovnik!C77)</f>
        <v>Mosty, propustky, zdi</v>
      </c>
      <c r="D9" s="110"/>
      <c r="E9" s="444">
        <f t="shared" si="0"/>
        <v>0</v>
      </c>
      <c r="F9" s="74"/>
      <c r="G9" s="1843"/>
      <c r="H9" s="558" t="str">
        <f>IF('0 Úvod'!$M$10="English",Slovnik!D77,Slovnik!C77)</f>
        <v>Mosty, propustky, zdi</v>
      </c>
      <c r="I9" s="561">
        <v>75</v>
      </c>
    </row>
    <row r="10" spans="2:9" ht="14.25" x14ac:dyDescent="0.3">
      <c r="B10" s="1836"/>
      <c r="C10" s="448" t="str">
        <f>IF('0 Úvod'!$M$10="English",Slovnik!D78,Slovnik!C78)</f>
        <v>Tunely</v>
      </c>
      <c r="D10" s="110"/>
      <c r="E10" s="444">
        <f t="shared" si="0"/>
        <v>0</v>
      </c>
      <c r="F10" s="74"/>
      <c r="G10" s="1843"/>
      <c r="H10" s="558" t="str">
        <f>IF('0 Úvod'!$M$10="English",Slovnik!D78,Slovnik!C78)</f>
        <v>Tunely</v>
      </c>
      <c r="I10" s="561">
        <v>90</v>
      </c>
    </row>
    <row r="11" spans="2:9" ht="14.25" x14ac:dyDescent="0.3">
      <c r="B11" s="1836"/>
      <c r="C11" s="448" t="str">
        <f>IF('0 Úvod'!$M$10="English",Slovnik!D79,Slovnik!C79)</f>
        <v>Komunikace a zpevněné plochy</v>
      </c>
      <c r="D11" s="110"/>
      <c r="E11" s="444">
        <f t="shared" si="0"/>
        <v>0</v>
      </c>
      <c r="F11" s="74"/>
      <c r="G11" s="1843"/>
      <c r="H11" s="558" t="str">
        <f>IF('0 Úvod'!$M$10="English",Slovnik!D79,Slovnik!C79)</f>
        <v>Komunikace a zpevněné plochy</v>
      </c>
      <c r="I11" s="561">
        <v>20</v>
      </c>
    </row>
    <row r="12" spans="2:9" ht="14.25" x14ac:dyDescent="0.3">
      <c r="B12" s="1836"/>
      <c r="C12" s="448" t="str">
        <f>IF('0 Úvod'!$M$10="English",Slovnik!D80,Slovnik!C80)</f>
        <v>Trakce</v>
      </c>
      <c r="D12" s="110"/>
      <c r="E12" s="444">
        <f t="shared" si="0"/>
        <v>0</v>
      </c>
      <c r="F12" s="74"/>
      <c r="G12" s="1843"/>
      <c r="H12" s="558" t="str">
        <f>IF('0 Úvod'!$M$10="English",Slovnik!D80,Slovnik!C80)</f>
        <v>Trakce</v>
      </c>
      <c r="I12" s="561">
        <v>30</v>
      </c>
    </row>
    <row r="13" spans="2:9" ht="14.25" x14ac:dyDescent="0.3">
      <c r="B13" s="1836"/>
      <c r="C13" s="448" t="str">
        <f>IF('0 Úvod'!$M$10="English",Slovnik!D81,Slovnik!C81)</f>
        <v>Inženýrské sítě (trubní vedení, kabelovody)</v>
      </c>
      <c r="D13" s="110"/>
      <c r="E13" s="444">
        <f t="shared" si="0"/>
        <v>0</v>
      </c>
      <c r="F13" s="74"/>
      <c r="G13" s="1843"/>
      <c r="H13" s="558" t="str">
        <f>IF('0 Úvod'!$M$10="English",Slovnik!D81,Slovnik!C81)</f>
        <v>Inženýrské sítě (trubní vedení, kabelovody)</v>
      </c>
      <c r="I13" s="561">
        <v>20</v>
      </c>
    </row>
    <row r="14" spans="2:9" ht="14.25" x14ac:dyDescent="0.3">
      <c r="B14" s="1836"/>
      <c r="C14" s="448" t="str">
        <f>IF('0 Úvod'!$M$10="English",Slovnik!D82,Slovnik!C82)</f>
        <v>Pozemní stavby, nástupiště a přístřešky</v>
      </c>
      <c r="D14" s="110"/>
      <c r="E14" s="444">
        <f t="shared" si="0"/>
        <v>0</v>
      </c>
      <c r="F14" s="74"/>
      <c r="G14" s="1843"/>
      <c r="H14" s="558" t="str">
        <f>IF('0 Úvod'!$M$10="English",Slovnik!D82,Slovnik!C82)</f>
        <v>Pozemní stavby, nástupiště a přístřešky</v>
      </c>
      <c r="I14" s="561">
        <v>40</v>
      </c>
    </row>
    <row r="15" spans="2:9" ht="14.25" x14ac:dyDescent="0.3">
      <c r="B15" s="1836"/>
      <c r="C15" s="448" t="str">
        <f>IF('0 Úvod'!$M$10="English",Slovnik!D83,Slovnik!C83)</f>
        <v>Objekty ochrany životního prostředí</v>
      </c>
      <c r="D15" s="111"/>
      <c r="E15" s="444">
        <f t="shared" si="0"/>
        <v>0</v>
      </c>
      <c r="F15" s="74"/>
      <c r="G15" s="1843"/>
      <c r="H15" s="558" t="str">
        <f>IF('0 Úvod'!$M$10="English",Slovnik!D83,Slovnik!C83)</f>
        <v>Objekty ochrany životního prostředí</v>
      </c>
      <c r="I15" s="561">
        <v>30</v>
      </c>
    </row>
    <row r="16" spans="2:9" ht="14.25" hidden="1" x14ac:dyDescent="0.3">
      <c r="B16" s="1837" t="str">
        <f>IF('0 Úvod'!$M$10="English",Slovnik!$D$68,Slovnik!$C$68)</f>
        <v>SILNIČNÍ INFRASTRUKTURA</v>
      </c>
      <c r="C16" s="449" t="str">
        <f>IF('0 Úvod'!$M$10="English",Slovnik!D84,Slovnik!C84)</f>
        <v>Obrusná vrstva - netuhé asfaltové</v>
      </c>
      <c r="D16" s="110"/>
      <c r="E16" s="445">
        <f t="shared" si="0"/>
        <v>0</v>
      </c>
      <c r="F16" s="74"/>
      <c r="G16" s="1844" t="str">
        <f>IF('0 Úvod'!$M$10="English",Slovnik!$D$68,Slovnik!$C$68)</f>
        <v>SILNIČNÍ INFRASTRUKTURA</v>
      </c>
      <c r="H16" s="552" t="str">
        <f>IF('0 Úvod'!$M$10="English",Slovnik!D84,Slovnik!C84)</f>
        <v>Obrusná vrstva - netuhé asfaltové</v>
      </c>
      <c r="I16" s="562">
        <v>12</v>
      </c>
    </row>
    <row r="17" spans="2:9" ht="14.25" hidden="1" x14ac:dyDescent="0.3">
      <c r="B17" s="1836"/>
      <c r="C17" s="448" t="str">
        <f>IF('0 Úvod'!$M$10="English",Slovnik!D85,Slovnik!C85)</f>
        <v>Obrusná vrstva - tuhé cementobetonové</v>
      </c>
      <c r="D17" s="110"/>
      <c r="E17" s="444">
        <f t="shared" si="0"/>
        <v>0</v>
      </c>
      <c r="F17" s="74"/>
      <c r="G17" s="1843"/>
      <c r="H17" s="558" t="str">
        <f>IF('0 Úvod'!$M$10="English",Slovnik!D85,Slovnik!C85)</f>
        <v>Obrusná vrstva - tuhé cementobetonové</v>
      </c>
      <c r="I17" s="563">
        <v>25</v>
      </c>
    </row>
    <row r="18" spans="2:9" ht="14.25" hidden="1" x14ac:dyDescent="0.3">
      <c r="B18" s="1836"/>
      <c r="C18" s="448" t="str">
        <f>IF('0 Úvod'!$M$10="English",Slovnik!D86,Slovnik!C86)</f>
        <v>Ložná vrstva - netuhé asfaltové</v>
      </c>
      <c r="D18" s="110"/>
      <c r="E18" s="444">
        <f t="shared" si="0"/>
        <v>0</v>
      </c>
      <c r="F18" s="74"/>
      <c r="G18" s="1843"/>
      <c r="H18" s="558" t="str">
        <f>IF('0 Úvod'!$M$10="English",Slovnik!D86,Slovnik!C86)</f>
        <v>Ložná vrstva - netuhé asfaltové</v>
      </c>
      <c r="I18" s="563">
        <v>20</v>
      </c>
    </row>
    <row r="19" spans="2:9" ht="14.25" hidden="1" x14ac:dyDescent="0.3">
      <c r="B19" s="1836"/>
      <c r="C19" s="448" t="str">
        <f>IF('0 Úvod'!$M$10="English",Slovnik!D87,Slovnik!C87)</f>
        <v>Podkladní vrstvy</v>
      </c>
      <c r="D19" s="110"/>
      <c r="E19" s="444">
        <f t="shared" si="0"/>
        <v>0</v>
      </c>
      <c r="F19" s="74"/>
      <c r="G19" s="1843"/>
      <c r="H19" s="558" t="str">
        <f>IF('0 Úvod'!$M$10="English",Slovnik!D87,Slovnik!C87)</f>
        <v>Podkladní vrstvy</v>
      </c>
      <c r="I19" s="563">
        <v>40</v>
      </c>
    </row>
    <row r="20" spans="2:9" ht="14.25" hidden="1" x14ac:dyDescent="0.3">
      <c r="B20" s="1836"/>
      <c r="C20" s="448" t="str">
        <f>IF('0 Úvod'!$M$10="English",Slovnik!D88,Slovnik!C88)</f>
        <v>Inženýrské sítě a komunikace</v>
      </c>
      <c r="D20" s="110"/>
      <c r="E20" s="444">
        <f t="shared" si="0"/>
        <v>0</v>
      </c>
      <c r="F20" s="74"/>
      <c r="G20" s="1843"/>
      <c r="H20" s="558" t="str">
        <f>IF('0 Úvod'!$M$10="English",Slovnik!D88,Slovnik!C88)</f>
        <v>Inženýrské sítě a komunikace</v>
      </c>
      <c r="I20" s="563">
        <v>20</v>
      </c>
    </row>
    <row r="21" spans="2:9" ht="14.25" hidden="1" x14ac:dyDescent="0.3">
      <c r="B21" s="1836"/>
      <c r="C21" s="448" t="str">
        <f>IF('0 Úvod'!$M$10="English",Slovnik!D89,Slovnik!C89)</f>
        <v>Odvodňovací zařízení</v>
      </c>
      <c r="D21" s="110"/>
      <c r="E21" s="444">
        <f t="shared" si="0"/>
        <v>0</v>
      </c>
      <c r="F21" s="74"/>
      <c r="G21" s="1843"/>
      <c r="H21" s="558" t="str">
        <f>IF('0 Úvod'!$M$10="English",Slovnik!D89,Slovnik!C89)</f>
        <v>Odvodňovací zařízení</v>
      </c>
      <c r="I21" s="563">
        <v>50</v>
      </c>
    </row>
    <row r="22" spans="2:9" ht="14.25" hidden="1" x14ac:dyDescent="0.3">
      <c r="B22" s="1836"/>
      <c r="C22" s="448" t="str">
        <f>IF('0 Úvod'!$M$10="English",Slovnik!D90,Slovnik!C90)</f>
        <v>Zemní těleso</v>
      </c>
      <c r="D22" s="110"/>
      <c r="E22" s="444">
        <f t="shared" si="0"/>
        <v>0</v>
      </c>
      <c r="F22" s="74"/>
      <c r="G22" s="1843"/>
      <c r="H22" s="558" t="str">
        <f>IF('0 Úvod'!$M$10="English",Slovnik!D90,Slovnik!C90)</f>
        <v>Zemní těleso</v>
      </c>
      <c r="I22" s="563">
        <v>65</v>
      </c>
    </row>
    <row r="23" spans="2:9" ht="14.25" hidden="1" x14ac:dyDescent="0.3">
      <c r="B23" s="1836"/>
      <c r="C23" s="448" t="str">
        <f>IF('0 Úvod'!$M$10="English",Slovnik!D91,Slovnik!C91)</f>
        <v>Mosty</v>
      </c>
      <c r="D23" s="110"/>
      <c r="E23" s="444">
        <f t="shared" si="0"/>
        <v>0</v>
      </c>
      <c r="F23" s="74"/>
      <c r="G23" s="1843"/>
      <c r="H23" s="558" t="str">
        <f>IF('0 Úvod'!$M$10="English",Slovnik!D91,Slovnik!C91)</f>
        <v>Mosty</v>
      </c>
      <c r="I23" s="563">
        <v>75</v>
      </c>
    </row>
    <row r="24" spans="2:9" ht="14.25" hidden="1" x14ac:dyDescent="0.3">
      <c r="B24" s="1838"/>
      <c r="C24" s="450" t="str">
        <f>IF('0 Úvod'!$M$10="English",Slovnik!D92,Slovnik!C92)</f>
        <v>Tunely</v>
      </c>
      <c r="D24" s="111"/>
      <c r="E24" s="446">
        <f t="shared" si="0"/>
        <v>0</v>
      </c>
      <c r="F24" s="74"/>
      <c r="G24" s="1845"/>
      <c r="H24" s="559" t="str">
        <f>IF('0 Úvod'!$M$10="English",Slovnik!D92,Slovnik!C92)</f>
        <v>Tunely</v>
      </c>
      <c r="I24" s="564">
        <v>90</v>
      </c>
    </row>
    <row r="25" spans="2:9" ht="14.25" hidden="1" x14ac:dyDescent="0.3">
      <c r="B25" s="1836" t="str">
        <f>IF('0 Úvod'!$M$10="English",Slovnik!$D$69,Slovnik!$C$69)</f>
        <v>VODNÍ INFRASTRUKTURA</v>
      </c>
      <c r="C25" s="448" t="str">
        <f>IF('0 Úvod'!$M$10="English",Slovnik!D93,Slovnik!C93)</f>
        <v>Přístavní zdi</v>
      </c>
      <c r="D25" s="110"/>
      <c r="E25" s="444">
        <f t="shared" si="0"/>
        <v>0</v>
      </c>
      <c r="F25" s="74"/>
      <c r="G25" s="1843" t="str">
        <f>IF('0 Úvod'!$M$10="English",Slovnik!$D$69,Slovnik!$C$69)</f>
        <v>VODNÍ INFRASTRUKTURA</v>
      </c>
      <c r="H25" s="558" t="str">
        <f>IF('0 Úvod'!$M$10="English",Slovnik!D93,Slovnik!C93)</f>
        <v>Přístavní zdi</v>
      </c>
      <c r="I25" s="563">
        <v>50</v>
      </c>
    </row>
    <row r="26" spans="2:9" ht="14.25" hidden="1" x14ac:dyDescent="0.3">
      <c r="B26" s="1836"/>
      <c r="C26" s="448" t="str">
        <f>IF('0 Úvod'!$M$10="English",Slovnik!D94,Slovnik!C94)</f>
        <v>Hrubé hydrotechnické konstrukce**</v>
      </c>
      <c r="D26" s="442"/>
      <c r="E26" s="444">
        <f t="shared" si="0"/>
        <v>0</v>
      </c>
      <c r="F26" s="74"/>
      <c r="G26" s="1843"/>
      <c r="H26" s="558" t="str">
        <f>IF('0 Úvod'!$M$10="English",Slovnik!D94,Slovnik!C94)</f>
        <v>Hrubé hydrotechnické konstrukce**</v>
      </c>
      <c r="I26" s="563">
        <v>80</v>
      </c>
    </row>
    <row r="27" spans="2:9" ht="14.25" hidden="1" x14ac:dyDescent="0.3">
      <c r="B27" s="1836"/>
      <c r="C27" s="448" t="str">
        <f>IF('0 Úvod'!$M$10="English",Slovnik!D95,Slovnik!C95)</f>
        <v>Ocelové konstrukce***</v>
      </c>
      <c r="D27" s="442"/>
      <c r="E27" s="444">
        <f t="shared" si="0"/>
        <v>0</v>
      </c>
      <c r="F27" s="74"/>
      <c r="G27" s="1843"/>
      <c r="H27" s="558" t="str">
        <f>IF('0 Úvod'!$M$10="English",Slovnik!D95,Slovnik!C95)</f>
        <v>Ocelové konstrukce***</v>
      </c>
      <c r="I27" s="563">
        <v>50</v>
      </c>
    </row>
    <row r="28" spans="2:9" ht="14.25" hidden="1" x14ac:dyDescent="0.3">
      <c r="B28" s="1836"/>
      <c r="C28" s="448" t="str">
        <f>IF('0 Úvod'!$M$10="English",Slovnik!D96,Slovnik!C96)</f>
        <v>Mosty, propustky, tunely a štoly</v>
      </c>
      <c r="D28" s="442"/>
      <c r="E28" s="444">
        <f t="shared" si="0"/>
        <v>0</v>
      </c>
      <c r="F28" s="74"/>
      <c r="G28" s="1843"/>
      <c r="H28" s="558" t="str">
        <f>IF('0 Úvod'!$M$10="English",Slovnik!D96,Slovnik!C96)</f>
        <v>Mosty, propustky, tunely a štoly</v>
      </c>
      <c r="I28" s="563">
        <v>75</v>
      </c>
    </row>
    <row r="29" spans="2:9" ht="14.25" hidden="1" x14ac:dyDescent="0.3">
      <c r="B29" s="1836"/>
      <c r="C29" s="448" t="str">
        <f>IF('0 Úvod'!$M$10="English",Slovnik!D97,Slovnik!C97)</f>
        <v>Pozemní stavby</v>
      </c>
      <c r="D29" s="442"/>
      <c r="E29" s="444">
        <f t="shared" si="0"/>
        <v>0</v>
      </c>
      <c r="F29" s="74"/>
      <c r="G29" s="1843"/>
      <c r="H29" s="558" t="str">
        <f>IF('0 Úvod'!$M$10="English",Slovnik!D97,Slovnik!C97)</f>
        <v>Pozemní stavby</v>
      </c>
      <c r="I29" s="563">
        <v>40</v>
      </c>
    </row>
    <row r="30" spans="2:9" ht="14.25" hidden="1" x14ac:dyDescent="0.3">
      <c r="B30" s="1836"/>
      <c r="C30" s="448" t="str">
        <f>IF('0 Úvod'!$M$10="English",Slovnik!D98,Slovnik!C98)</f>
        <v>Komunikace a zpevněné plochy</v>
      </c>
      <c r="D30" s="442"/>
      <c r="E30" s="444">
        <f t="shared" si="0"/>
        <v>0</v>
      </c>
      <c r="F30" s="74"/>
      <c r="G30" s="1843"/>
      <c r="H30" s="558" t="str">
        <f>IF('0 Úvod'!$M$10="English",Slovnik!D98,Slovnik!C98)</f>
        <v>Komunikace a zpevněné plochy</v>
      </c>
      <c r="I30" s="563">
        <v>20</v>
      </c>
    </row>
    <row r="31" spans="2:9" ht="14.25" hidden="1" x14ac:dyDescent="0.3">
      <c r="B31" s="1836"/>
      <c r="C31" s="448" t="str">
        <f>IF('0 Úvod'!$M$10="English",Slovnik!D99,Slovnik!C99)</f>
        <v>Silnoproudá instalace</v>
      </c>
      <c r="D31" s="442"/>
      <c r="E31" s="444">
        <f t="shared" si="0"/>
        <v>0</v>
      </c>
      <c r="F31" s="74"/>
      <c r="G31" s="1843"/>
      <c r="H31" s="558" t="str">
        <f>IF('0 Úvod'!$M$10="English",Slovnik!D99,Slovnik!C99)</f>
        <v>Silnoproudá instalace</v>
      </c>
      <c r="I31" s="563">
        <v>20</v>
      </c>
    </row>
    <row r="32" spans="2:9" ht="14.25" hidden="1" x14ac:dyDescent="0.3">
      <c r="B32" s="1836"/>
      <c r="C32" s="448" t="str">
        <f>IF('0 Úvod'!$M$10="English",Slovnik!D100,Slovnik!C100)</f>
        <v>Slaboproudá instalace</v>
      </c>
      <c r="D32" s="442"/>
      <c r="E32" s="444">
        <f t="shared" si="0"/>
        <v>0</v>
      </c>
      <c r="F32" s="74"/>
      <c r="G32" s="1843"/>
      <c r="H32" s="558" t="str">
        <f>IF('0 Úvod'!$M$10="English",Slovnik!D100,Slovnik!C100)</f>
        <v>Slaboproudá instalace</v>
      </c>
      <c r="I32" s="563">
        <v>20</v>
      </c>
    </row>
    <row r="33" spans="2:17" ht="14.25" hidden="1" x14ac:dyDescent="0.3">
      <c r="B33" s="1836"/>
      <c r="C33" s="448" t="str">
        <f>IF('0 Úvod'!$M$10="English",Slovnik!D101,Slovnik!C101)</f>
        <v>Inženýrské objekty (trubní vedení a kabelovody)</v>
      </c>
      <c r="D33" s="442"/>
      <c r="E33" s="444">
        <f t="shared" si="0"/>
        <v>0</v>
      </c>
      <c r="F33" s="74"/>
      <c r="G33" s="1843"/>
      <c r="H33" s="558" t="str">
        <f>IF('0 Úvod'!$M$10="English",Slovnik!D101,Slovnik!C101)</f>
        <v>Inženýrské objekty (trubní vedení a kabelovody)</v>
      </c>
      <c r="I33" s="563">
        <v>20</v>
      </c>
    </row>
    <row r="34" spans="2:17" ht="14.25" hidden="1" x14ac:dyDescent="0.3">
      <c r="B34" s="1836"/>
      <c r="C34" s="448" t="str">
        <f>IF('0 Úvod'!$M$10="English",Slovnik!D102,Slovnik!C102)</f>
        <v>Úpravy vodní cesty a terénní úpravy</v>
      </c>
      <c r="D34" s="442"/>
      <c r="E34" s="444">
        <f t="shared" si="0"/>
        <v>0</v>
      </c>
      <c r="F34" s="74"/>
      <c r="G34" s="1843"/>
      <c r="H34" s="558" t="str">
        <f>IF('0 Úvod'!$M$10="English",Slovnik!D102,Slovnik!C102)</f>
        <v>Úpravy vodní cesty a terénní úpravy</v>
      </c>
      <c r="I34" s="563">
        <v>80</v>
      </c>
    </row>
    <row r="35" spans="2:17" ht="14.25" hidden="1" x14ac:dyDescent="0.3">
      <c r="B35" s="1836"/>
      <c r="C35" s="448" t="str">
        <f>IF('0 Úvod'!$M$10="English",Slovnik!D103,Slovnik!C103)</f>
        <v>Ochrana životního prostředí</v>
      </c>
      <c r="D35" s="111"/>
      <c r="E35" s="444">
        <f t="shared" si="0"/>
        <v>0</v>
      </c>
      <c r="F35" s="74"/>
      <c r="G35" s="1843"/>
      <c r="H35" s="558" t="str">
        <f>IF('0 Úvod'!$M$10="English",Slovnik!D103,Slovnik!C103)</f>
        <v>Ochrana životního prostředí</v>
      </c>
      <c r="I35" s="563">
        <v>30</v>
      </c>
    </row>
    <row r="36" spans="2:17" ht="14.25" x14ac:dyDescent="0.3">
      <c r="B36" s="1839" t="str">
        <f>IF('0 Úvod'!$M$10="English",Slovnik!$D$737,Slovnik!$C$737)</f>
        <v>OSTATNÍ**</v>
      </c>
      <c r="C36" s="767" t="s">
        <v>1372</v>
      </c>
      <c r="D36" s="110"/>
      <c r="E36" s="445">
        <f t="shared" si="0"/>
        <v>0</v>
      </c>
      <c r="F36" s="74"/>
      <c r="G36" s="1841" t="str">
        <f>IF('0 Úvod'!$M$10="English",Slovnik!$D$737,Slovnik!$C$737)</f>
        <v>OSTATNÍ**</v>
      </c>
      <c r="H36" s="552" t="str">
        <f>C36</f>
        <v>specifikujte</v>
      </c>
      <c r="I36" s="565">
        <v>10</v>
      </c>
    </row>
    <row r="37" spans="2:17" ht="15" thickBot="1" x14ac:dyDescent="0.35">
      <c r="B37" s="1840"/>
      <c r="C37" s="768" t="s">
        <v>1372</v>
      </c>
      <c r="D37" s="442"/>
      <c r="E37" s="446">
        <f t="shared" si="0"/>
        <v>0</v>
      </c>
      <c r="F37" s="74"/>
      <c r="G37" s="1842"/>
      <c r="H37" s="555" t="str">
        <f>C37</f>
        <v>specifikujte</v>
      </c>
      <c r="I37" s="566">
        <v>10</v>
      </c>
    </row>
    <row r="38" spans="2:17" ht="15" thickBot="1" x14ac:dyDescent="0.35">
      <c r="B38" s="82"/>
      <c r="C38" s="83" t="str">
        <f>IF('0 Úvod'!$M$10="English",Slovnik!D104,Slovnik!C104)</f>
        <v>CELKEM</v>
      </c>
      <c r="D38" s="113">
        <f>SUM(D3:D37)</f>
        <v>0</v>
      </c>
      <c r="E38" s="112">
        <f>SUM(E3:E37)</f>
        <v>0</v>
      </c>
      <c r="F38" s="74"/>
      <c r="I38" s="553"/>
    </row>
    <row r="39" spans="2:17" ht="13.15" customHeight="1" thickBot="1" x14ac:dyDescent="0.35">
      <c r="B39" s="1829" t="str">
        <f>IF('0 Úvod'!$M$10="English",Slovnik!$D$107,Slovnik!$C$107)</f>
        <v>Celková životnost investice (roky)</v>
      </c>
      <c r="C39" s="1830"/>
      <c r="D39" s="1830"/>
      <c r="E39" s="85">
        <f>IFERROR(ROUND(E38/D38,0),0)</f>
        <v>0</v>
      </c>
      <c r="F39" s="77"/>
      <c r="I39" s="23"/>
    </row>
    <row r="40" spans="2:17" ht="14.25" x14ac:dyDescent="0.3">
      <c r="I40" s="23"/>
    </row>
    <row r="41" spans="2:17" ht="14.25" thickBot="1" x14ac:dyDescent="0.35"/>
    <row r="42" spans="2:17" ht="14.25" thickBot="1" x14ac:dyDescent="0.35">
      <c r="B42" s="84" t="s">
        <v>9</v>
      </c>
      <c r="C42" s="87" t="str">
        <f>IF('0 Úvod'!$M$10="English",Slovnik!D111,Slovnik!C111)</f>
        <v>Výpočet zůstatkové hodnoty pro FA</v>
      </c>
      <c r="D42" s="86"/>
      <c r="G42" s="79" t="s">
        <v>10</v>
      </c>
      <c r="H42" s="101" t="str">
        <f>IF('0 Úvod'!$M$10="English",Slovnik!$D$117,Slovnik!$C$117)</f>
        <v>Výpočet zůstatkové hodnoty pro EA</v>
      </c>
      <c r="I42" s="86"/>
      <c r="Q42" s="71"/>
    </row>
    <row r="43" spans="2:17" ht="14.25" x14ac:dyDescent="0.3">
      <c r="B43" s="88"/>
      <c r="C43" s="89" t="str">
        <f>IF('0 Úvod'!$M$10="English",Slovnik!D112,Slovnik!C112)</f>
        <v>Celková životnost investice</v>
      </c>
      <c r="D43" s="178">
        <f>$E$39</f>
        <v>0</v>
      </c>
      <c r="G43" s="88"/>
      <c r="H43" s="89" t="str">
        <f>IF('0 Úvod'!$M$10="English",Slovnik!D112,Slovnik!C112)</f>
        <v>Celková životnost investice</v>
      </c>
      <c r="I43" s="178">
        <f>$E$39</f>
        <v>0</v>
      </c>
      <c r="Q43" s="71"/>
    </row>
    <row r="44" spans="2:17" ht="14.25" x14ac:dyDescent="0.3">
      <c r="B44" s="90"/>
      <c r="C44" s="91" t="str">
        <f>IF('0 Úvod'!$M$10="English",Slovnik!D113,Slovnik!C113)</f>
        <v>Délka provozní fáze hodnotícího období</v>
      </c>
      <c r="D44" s="179">
        <f>'0 Úvod'!$J$18-('0 Úvod'!$D$20-'0 Úvod'!$G$18)</f>
        <v>30</v>
      </c>
      <c r="G44" s="90"/>
      <c r="H44" s="91" t="str">
        <f>IF('0 Úvod'!$M$10="English",Slovnik!D113,Slovnik!C113)</f>
        <v>Délka provozní fáze hodnotícího období</v>
      </c>
      <c r="I44" s="179">
        <f>'0 Úvod'!$J$18-('0 Úvod'!$D$20-'0 Úvod'!$G$18)</f>
        <v>30</v>
      </c>
      <c r="K44" s="71"/>
      <c r="Q44" s="71"/>
    </row>
    <row r="45" spans="2:17" ht="14.25" x14ac:dyDescent="0.3">
      <c r="B45" s="90"/>
      <c r="C45" s="91" t="str">
        <f>IF('0 Úvod'!$M$10="English",Slovnik!D114,Slovnik!C114)</f>
        <v>Životnost investice po skončení hodnotícího období</v>
      </c>
      <c r="D45" s="179">
        <f>IF((D43-D44)&lt;0,0,D43-D44)</f>
        <v>0</v>
      </c>
      <c r="G45" s="90"/>
      <c r="H45" s="91" t="str">
        <f>IF('0 Úvod'!$M$10="English",Slovnik!D114,Slovnik!C114)</f>
        <v>Životnost investice po skončení hodnotícího období</v>
      </c>
      <c r="I45" s="179">
        <f>IF((I43-I44)&lt;0,0,I43-I44)</f>
        <v>0</v>
      </c>
      <c r="K45" s="71"/>
      <c r="Q45" s="71"/>
    </row>
    <row r="46" spans="2:17" ht="15" thickBot="1" x14ac:dyDescent="0.35">
      <c r="B46" s="92"/>
      <c r="C46" s="93" t="str">
        <f>IF('0 Úvod'!$M$10="English",Slovnik!D115,Slovnik!C115)</f>
        <v>Průměrný nákladový peněžní tok (nediskontovaný)</v>
      </c>
      <c r="D46" s="180">
        <f>SUM('7 Finanční analýza'!E22:S22,'7 Finanční analýza'!E43:S43)/('0 Úvod'!J18-('0 Úvod'!$D$20-'0 Úvod'!G18))</f>
        <v>0</v>
      </c>
      <c r="G46" s="90"/>
      <c r="H46" s="91" t="str">
        <f>IF('0 Úvod'!$M$10="English",Slovnik!D115,Slovnik!C115)</f>
        <v>Průměrný nákladový peněžní tok (nediskontovaný)</v>
      </c>
      <c r="I46" s="181">
        <f>SUM('13 Ekonomická analýza'!F18:T18,'13 Ekonomická analýza'!F35:T35)/('0 Úvod'!J18-('0 Úvod'!$D$20-'0 Úvod'!G18))</f>
        <v>0</v>
      </c>
      <c r="K46" s="71"/>
      <c r="Q46" s="71"/>
    </row>
    <row r="47" spans="2:17" ht="15" thickBot="1" x14ac:dyDescent="0.35">
      <c r="B47" s="94"/>
      <c r="C47" s="95" t="str">
        <f>IF('0 Úvod'!$M$10="English",Slovnik!D116,Slovnik!C116)</f>
        <v>ZŮSTATKOVÁ HODNOTA</v>
      </c>
      <c r="D47" s="96">
        <f>IF((D46*(1/(1+'0 Úvod'!J20))*(((1/(1+'0 Úvod'!J20))^D45-1)/((1/(1+'0 Úvod'!J20))-1)))&lt;0,0,D46*(1/(1+'0 Úvod'!J20))*(((1/(1+'0 Úvod'!J20))^D45-1)/((1/(1+'0 Úvod'!J20))-1)))</f>
        <v>0</v>
      </c>
      <c r="G47" s="92"/>
      <c r="H47" s="93" t="str">
        <f>IF('0 Úvod'!$M$10="English",Slovnik!$D$118,Slovnik!$C$118)</f>
        <v>Ekonomický přínos v posledním roce (nediskontovaný)</v>
      </c>
      <c r="I47" s="180">
        <f>IF('0 Úvod'!J18&gt;15,(HLOOKUP(('0 Úvod'!G18+'0 Úvod'!J18-1),'13 Ekonomická analýza'!$F$19:$T$35,10,FALSE)-HLOOKUP(('0 Úvod'!G18+'0 Úvod'!J18-1),'13 Ekonomická analýza'!$F$19:$T$35,17,FALSE)),(HLOOKUP(('0 Úvod'!G18+'0 Úvod'!J18-1),'13 Ekonomická analýza'!$F$2:$T$18,10,FALSE)-HLOOKUP(('0 Úvod'!G18+'0 Úvod'!J18-1),'13 Ekonomická analýza'!$F$2:$T$18,17,FALSE)))</f>
        <v>0</v>
      </c>
      <c r="K47" s="71"/>
      <c r="Q47" s="71"/>
    </row>
    <row r="48" spans="2:17" ht="15" thickBot="1" x14ac:dyDescent="0.35">
      <c r="G48" s="94"/>
      <c r="H48" s="95" t="str">
        <f>IF('0 Úvod'!$M$10="English",Slovnik!D116,Slovnik!C116)</f>
        <v>ZŮSTATKOVÁ HODNOTA</v>
      </c>
      <c r="I48" s="96">
        <f>IF(((I46+I47)*(1/(1+'0 Úvod'!K20))*(((1/(1+'0 Úvod'!K20))^I45-1)/((1/(1+'0 Úvod'!K20))-1)))&lt;0,0,(I46+I47)*(1/(1+'0 Úvod'!K20))*(((1/(1+'0 Úvod'!K20))^I45-1)/((1/(1+'0 Úvod'!K20))-1)))</f>
        <v>0</v>
      </c>
      <c r="J48" s="73"/>
      <c r="K48" s="71"/>
      <c r="Q48" s="71"/>
    </row>
    <row r="49" spans="2:10" ht="15" thickBot="1" x14ac:dyDescent="0.35">
      <c r="G49" s="17"/>
      <c r="H49" s="72"/>
      <c r="I49" s="74"/>
    </row>
    <row r="50" spans="2:10" ht="14.25" thickBot="1" x14ac:dyDescent="0.35">
      <c r="B50" s="97" t="s">
        <v>11</v>
      </c>
      <c r="C50" s="98" t="str">
        <f>IF('0 Úvod'!$M$10="English",Slovnik!$D$119,Slovnik!$C$119)</f>
        <v>Diskont. zůstatková hodnota investic pro FA</v>
      </c>
      <c r="D50" s="1831">
        <f>D47*(1/(1+'0 Úvod'!J20)^('0 Úvod'!J18-1))</f>
        <v>0</v>
      </c>
      <c r="E50" s="1832"/>
      <c r="F50" s="75"/>
      <c r="G50" s="97" t="s">
        <v>12</v>
      </c>
      <c r="H50" s="98" t="str">
        <f>IF('0 Úvod'!$M$10="English",Slovnik!$D$121,Slovnik!$C$121)</f>
        <v>Diskont. zůstatková hodnota investic pro EA</v>
      </c>
      <c r="I50" s="1831">
        <f>I48*(1/(1+'0 Úvod'!K20)^('0 Úvod'!J18-1))</f>
        <v>0</v>
      </c>
      <c r="J50" s="1832"/>
    </row>
    <row r="51" spans="2:10" ht="15" thickBot="1" x14ac:dyDescent="0.35">
      <c r="B51" s="99"/>
      <c r="C51" s="100" t="str">
        <f>IF('0 Úvod'!$M$10="English",Slovnik!$D$120,Slovnik!$C$120)</f>
        <v>Diskontovaná zůstatková hodnota investic v EUR</v>
      </c>
      <c r="D51" s="1833">
        <f>D50/'0 Úvod'!N18</f>
        <v>0</v>
      </c>
      <c r="E51" s="1834"/>
      <c r="F51" s="76"/>
      <c r="G51" s="99"/>
      <c r="H51" s="100" t="str">
        <f>IF('0 Úvod'!$M$10="English",Slovnik!$D$120,Slovnik!$C$120)</f>
        <v>Diskontovaná zůstatková hodnota investic v EUR</v>
      </c>
      <c r="I51" s="1833">
        <f>I50/'0 Úvod'!N18</f>
        <v>0</v>
      </c>
      <c r="J51" s="1834"/>
    </row>
    <row r="52" spans="2:10" ht="14.25" x14ac:dyDescent="0.3">
      <c r="G52" s="17"/>
      <c r="H52" s="72"/>
      <c r="I52" s="74"/>
    </row>
    <row r="53" spans="2:10" ht="14.25" x14ac:dyDescent="0.3">
      <c r="G53" s="17"/>
      <c r="H53" s="72"/>
      <c r="I53" s="74"/>
    </row>
    <row r="54" spans="2:10" ht="147.75" customHeight="1" x14ac:dyDescent="0.3">
      <c r="C54" s="1828" t="str">
        <f>IF('0 Úvod'!$M$10="English",Slovnik!$E$114,Slovnik!$E$113)</f>
        <v xml:space="preserve">* Při dělení nákladů stanovených v souhrnných rozpočtech se níže uvedené položky zařazují do uvedených kategorií:
- železniční přejezdy = železniční svršek,
- inženýrské sítě kabelové cizích vlastníků (telefony, datové sítě, veřejné elektrické rozvody, veř. osvětlení) = inženýrské sítě,
- ostatní technologická zařízení, např. výtahy, eskalátory, jeřáby, úpravna vody = silnoproudé rozvody a zařízení,
- přeložky a úpravy vodních toků, technické a biologické rekultivace, kácení = ochrana životního prostředí
- individuální protihluková opatření = ochrana životního prostředí,
- protihlukové stěny a protihlukové valy = ochrana životního prostředí,
- budovy objektů napájení = pozemní stavby,
- osvětlení, nízkonapěťové drážní rozvody, EOV, POV a napájení = silnoproudé rozvody a zařízení,
- všeobecné objekty = inženýrské sítě.
Pozn.: Pokud je zmiňována železniční infrastruktura, je tím míněna "infrastruktura drážní", která zahrnuje i městskou drážní dopravu. </v>
      </c>
      <c r="D54" s="1828"/>
      <c r="E54" s="1828"/>
      <c r="F54" s="1828"/>
      <c r="G54" s="1828"/>
      <c r="H54" s="1828"/>
      <c r="I54" s="423"/>
      <c r="J54" s="423"/>
    </row>
    <row r="55" spans="2:10" x14ac:dyDescent="0.3">
      <c r="C55" s="451" t="s">
        <v>1375</v>
      </c>
      <c r="D55" s="452"/>
      <c r="E55" s="453"/>
      <c r="F55" s="453"/>
      <c r="G55" s="17"/>
      <c r="H55" s="17"/>
    </row>
    <row r="56" spans="2:10" x14ac:dyDescent="0.3">
      <c r="C56" s="454"/>
      <c r="D56" s="452"/>
      <c r="E56" s="453"/>
      <c r="F56" s="453"/>
      <c r="G56" s="17"/>
      <c r="H56" s="17"/>
    </row>
    <row r="57" spans="2:10" x14ac:dyDescent="0.3">
      <c r="C57" s="451"/>
      <c r="D57" s="452"/>
      <c r="E57" s="453"/>
      <c r="F57" s="453"/>
      <c r="G57" s="17"/>
      <c r="H57" s="17"/>
    </row>
    <row r="78" spans="5:6" ht="14.25" x14ac:dyDescent="0.3">
      <c r="E78" s="18"/>
      <c r="F78" s="18"/>
    </row>
    <row r="79" spans="5:6" ht="14.25" x14ac:dyDescent="0.3">
      <c r="E79" s="18"/>
      <c r="F79" s="18"/>
    </row>
  </sheetData>
  <sheetProtection algorithmName="SHA-512" hashValue="xmRFVZe40C+vxPotgSMHRNxSQckETBjlKPO0cqZJJGjm/PecYZJ1gNnTxKda7GZlDOFcNJpTbeHTDtlwP8uP1A==" saltValue="6T20VtnNhh6DoDhPJ9reQw==" spinCount="100000" sheet="1" objects="1" scenarios="1" formatCells="0"/>
  <mergeCells count="14">
    <mergeCell ref="I51:J51"/>
    <mergeCell ref="G3:G15"/>
    <mergeCell ref="G16:G24"/>
    <mergeCell ref="G25:G35"/>
    <mergeCell ref="I50:J50"/>
    <mergeCell ref="C54:H54"/>
    <mergeCell ref="B39:D39"/>
    <mergeCell ref="D50:E50"/>
    <mergeCell ref="D51:E51"/>
    <mergeCell ref="B3:B15"/>
    <mergeCell ref="B16:B24"/>
    <mergeCell ref="B25:B35"/>
    <mergeCell ref="B36:B37"/>
    <mergeCell ref="G36:G37"/>
  </mergeCells>
  <phoneticPr fontId="0" type="noConversion"/>
  <pageMargins left="0.39370078740157483" right="0.35433070866141736" top="0.98425196850393704" bottom="0.78740157480314965" header="0.39370078740157483" footer="0.39370078740157483"/>
  <pageSetup paperSize="9" scale="68" orientation="landscape" r:id="rId1"/>
  <headerFooter alignWithMargins="0">
    <oddFooter>&amp;L&amp;A&amp;C&amp;D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CACC5-C346-4C4F-BDC3-8874253DD28E}">
  <sheetPr codeName="List40">
    <pageSetUpPr fitToPage="1"/>
  </sheetPr>
  <dimension ref="A1:AJ162"/>
  <sheetViews>
    <sheetView defaultGridColor="0" topLeftCell="A9" colorId="23" zoomScaleNormal="100" workbookViewId="0">
      <selection activeCell="F34" sqref="F33:P34"/>
    </sheetView>
  </sheetViews>
  <sheetFormatPr defaultColWidth="9.140625" defaultRowHeight="13.5" x14ac:dyDescent="0.3"/>
  <cols>
    <col min="1" max="1" width="2.7109375" style="227" customWidth="1"/>
    <col min="2" max="2" width="6.7109375" style="227" customWidth="1"/>
    <col min="3" max="3" width="46" style="227" customWidth="1"/>
    <col min="4" max="4" width="11.85546875" style="227" customWidth="1"/>
    <col min="5" max="16" width="10.7109375" style="227" customWidth="1"/>
    <col min="17" max="28" width="10.42578125" style="227" customWidth="1"/>
    <col min="29" max="33" width="8.7109375" style="227" bestFit="1" customWidth="1"/>
    <col min="34" max="34" width="10.42578125" style="227" bestFit="1" customWidth="1"/>
    <col min="35" max="16384" width="9.140625" style="227"/>
  </cols>
  <sheetData>
    <row r="1" spans="1:27" ht="14.25" thickBot="1" x14ac:dyDescent="0.35">
      <c r="D1" s="228"/>
    </row>
    <row r="2" spans="1:27" ht="15" thickBot="1" x14ac:dyDescent="0.35">
      <c r="B2" s="771" t="s">
        <v>13</v>
      </c>
      <c r="C2" s="772" t="s">
        <v>1414</v>
      </c>
      <c r="D2" s="1875"/>
      <c r="E2" s="1876"/>
      <c r="F2" s="1876"/>
      <c r="G2" s="1876"/>
      <c r="H2" s="1876"/>
      <c r="I2" s="1876"/>
      <c r="J2" s="1876"/>
      <c r="K2" s="1876"/>
      <c r="L2" s="1876"/>
      <c r="M2" s="1876"/>
      <c r="N2" s="1876"/>
      <c r="O2" s="1876"/>
      <c r="P2" s="1876"/>
      <c r="Q2" s="1876"/>
      <c r="R2" s="1877"/>
      <c r="S2" s="769"/>
    </row>
    <row r="3" spans="1:27" ht="15" customHeight="1" thickBot="1" x14ac:dyDescent="0.35">
      <c r="B3" s="769"/>
      <c r="C3" s="769"/>
      <c r="D3" s="769"/>
      <c r="E3" s="769"/>
      <c r="F3" s="769"/>
      <c r="G3" s="769"/>
      <c r="H3" s="769"/>
      <c r="I3" s="769"/>
      <c r="J3" s="769"/>
      <c r="K3" s="769"/>
      <c r="L3" s="769"/>
      <c r="M3" s="769"/>
      <c r="N3" s="769"/>
      <c r="O3" s="769"/>
      <c r="P3" s="769"/>
      <c r="Q3" s="769"/>
      <c r="R3" s="769"/>
      <c r="S3" s="770"/>
      <c r="T3" s="228"/>
      <c r="U3" s="228"/>
      <c r="V3" s="228"/>
      <c r="W3" s="228"/>
      <c r="X3" s="228"/>
      <c r="Y3" s="228"/>
      <c r="Z3" s="228"/>
      <c r="AA3" s="228"/>
    </row>
    <row r="4" spans="1:27" ht="14.25" x14ac:dyDescent="0.3">
      <c r="B4" s="773" t="s">
        <v>14</v>
      </c>
      <c r="C4" s="774" t="s">
        <v>1421</v>
      </c>
      <c r="D4" s="1846">
        <f>'0 Úvod'!G18</f>
        <v>2026</v>
      </c>
      <c r="E4" s="1846">
        <f t="shared" ref="E4:R4" si="0">D4+1</f>
        <v>2027</v>
      </c>
      <c r="F4" s="1846">
        <f t="shared" si="0"/>
        <v>2028</v>
      </c>
      <c r="G4" s="1846">
        <f t="shared" si="0"/>
        <v>2029</v>
      </c>
      <c r="H4" s="1846">
        <f t="shared" si="0"/>
        <v>2030</v>
      </c>
      <c r="I4" s="1846">
        <f t="shared" si="0"/>
        <v>2031</v>
      </c>
      <c r="J4" s="1846">
        <f t="shared" si="0"/>
        <v>2032</v>
      </c>
      <c r="K4" s="1846">
        <f t="shared" si="0"/>
        <v>2033</v>
      </c>
      <c r="L4" s="1846">
        <f t="shared" si="0"/>
        <v>2034</v>
      </c>
      <c r="M4" s="1846">
        <f t="shared" si="0"/>
        <v>2035</v>
      </c>
      <c r="N4" s="1846">
        <f t="shared" si="0"/>
        <v>2036</v>
      </c>
      <c r="O4" s="1846">
        <f t="shared" si="0"/>
        <v>2037</v>
      </c>
      <c r="P4" s="1846">
        <f t="shared" si="0"/>
        <v>2038</v>
      </c>
      <c r="Q4" s="1846">
        <f t="shared" si="0"/>
        <v>2039</v>
      </c>
      <c r="R4" s="1852">
        <f t="shared" si="0"/>
        <v>2040</v>
      </c>
      <c r="S4" s="770"/>
      <c r="T4" s="228"/>
      <c r="U4" s="228"/>
      <c r="V4" s="228"/>
      <c r="W4" s="228"/>
      <c r="X4" s="228"/>
      <c r="Y4" s="228"/>
      <c r="Z4" s="228"/>
      <c r="AA4" s="228"/>
    </row>
    <row r="5" spans="1:27" ht="15" thickBot="1" x14ac:dyDescent="0.35">
      <c r="B5" s="775" t="s">
        <v>4</v>
      </c>
      <c r="C5" s="776" t="s">
        <v>1412</v>
      </c>
      <c r="D5" s="1847"/>
      <c r="E5" s="1847"/>
      <c r="F5" s="1847"/>
      <c r="G5" s="1847"/>
      <c r="H5" s="1847"/>
      <c r="I5" s="1847"/>
      <c r="J5" s="1847"/>
      <c r="K5" s="1847"/>
      <c r="L5" s="1847"/>
      <c r="M5" s="1847"/>
      <c r="N5" s="1847"/>
      <c r="O5" s="1847"/>
      <c r="P5" s="1847"/>
      <c r="Q5" s="1847"/>
      <c r="R5" s="1853"/>
      <c r="S5" s="770"/>
      <c r="T5" s="228"/>
      <c r="U5" s="228"/>
      <c r="V5" s="228"/>
      <c r="W5" s="228"/>
      <c r="X5" s="228"/>
      <c r="Y5" s="228"/>
      <c r="Z5" s="228"/>
      <c r="AA5" s="228"/>
    </row>
    <row r="6" spans="1:27" ht="14.25" x14ac:dyDescent="0.3">
      <c r="A6" s="472"/>
      <c r="B6" s="136"/>
      <c r="C6" s="136" t="s">
        <v>1379</v>
      </c>
      <c r="D6" s="235"/>
      <c r="E6" s="235"/>
      <c r="F6" s="235"/>
      <c r="G6" s="235"/>
      <c r="H6" s="235"/>
      <c r="I6" s="235"/>
      <c r="J6" s="235"/>
      <c r="K6" s="235"/>
      <c r="L6" s="235"/>
      <c r="M6" s="235"/>
      <c r="N6" s="235"/>
      <c r="O6" s="235"/>
      <c r="P6" s="235"/>
      <c r="Q6" s="235"/>
      <c r="R6" s="235"/>
      <c r="S6" s="777"/>
      <c r="T6" s="228"/>
      <c r="U6" s="228"/>
      <c r="V6" s="228"/>
      <c r="W6" s="228"/>
      <c r="X6" s="228"/>
      <c r="Y6" s="228"/>
      <c r="Z6" s="228"/>
      <c r="AA6" s="228"/>
    </row>
    <row r="7" spans="1:27" ht="14.25" x14ac:dyDescent="0.3">
      <c r="A7" s="472"/>
      <c r="B7" s="136"/>
      <c r="C7" s="136" t="s">
        <v>1380</v>
      </c>
      <c r="D7" s="235"/>
      <c r="E7" s="235"/>
      <c r="F7" s="235"/>
      <c r="G7" s="235"/>
      <c r="H7" s="235"/>
      <c r="I7" s="235"/>
      <c r="J7" s="235"/>
      <c r="K7" s="235"/>
      <c r="L7" s="235"/>
      <c r="M7" s="235"/>
      <c r="N7" s="235"/>
      <c r="O7" s="235"/>
      <c r="P7" s="235"/>
      <c r="Q7" s="235"/>
      <c r="R7" s="235"/>
      <c r="S7" s="777"/>
      <c r="T7" s="228"/>
      <c r="U7" s="228"/>
      <c r="V7" s="228"/>
      <c r="W7" s="228"/>
      <c r="X7" s="228"/>
      <c r="Y7" s="228"/>
      <c r="Z7" s="228"/>
      <c r="AA7" s="228"/>
    </row>
    <row r="8" spans="1:27" ht="14.25" x14ac:dyDescent="0.3">
      <c r="A8" s="472"/>
      <c r="B8" s="136"/>
      <c r="C8" s="136" t="s">
        <v>1381</v>
      </c>
      <c r="D8" s="235"/>
      <c r="E8" s="235"/>
      <c r="F8" s="235"/>
      <c r="G8" s="235"/>
      <c r="H8" s="235"/>
      <c r="I8" s="235"/>
      <c r="J8" s="235"/>
      <c r="K8" s="235"/>
      <c r="L8" s="235"/>
      <c r="M8" s="235"/>
      <c r="N8" s="235"/>
      <c r="O8" s="235"/>
      <c r="P8" s="235"/>
      <c r="Q8" s="235"/>
      <c r="R8" s="235"/>
      <c r="S8" s="777"/>
      <c r="T8" s="228"/>
      <c r="U8" s="228"/>
      <c r="V8" s="228"/>
      <c r="W8" s="228"/>
      <c r="X8" s="228"/>
      <c r="Y8" s="228"/>
      <c r="Z8" s="228"/>
      <c r="AA8" s="228"/>
    </row>
    <row r="9" spans="1:27" ht="14.25" x14ac:dyDescent="0.3">
      <c r="A9" s="472"/>
      <c r="B9" s="136"/>
      <c r="C9" s="136" t="s">
        <v>1382</v>
      </c>
      <c r="D9" s="235"/>
      <c r="E9" s="235"/>
      <c r="F9" s="235"/>
      <c r="G9" s="235"/>
      <c r="H9" s="235"/>
      <c r="I9" s="235"/>
      <c r="J9" s="235"/>
      <c r="K9" s="235"/>
      <c r="L9" s="235"/>
      <c r="M9" s="235"/>
      <c r="N9" s="235"/>
      <c r="O9" s="235"/>
      <c r="P9" s="235"/>
      <c r="Q9" s="235"/>
      <c r="R9" s="235"/>
      <c r="S9" s="777"/>
      <c r="T9" s="228"/>
      <c r="U9" s="228"/>
      <c r="V9" s="228"/>
      <c r="W9" s="228"/>
      <c r="X9" s="228"/>
      <c r="Y9" s="228"/>
      <c r="Z9" s="228"/>
      <c r="AA9" s="228"/>
    </row>
    <row r="10" spans="1:27" ht="14.25" x14ac:dyDescent="0.3">
      <c r="A10" s="472"/>
      <c r="B10" s="136"/>
      <c r="C10" s="136" t="s">
        <v>1422</v>
      </c>
      <c r="D10" s="235"/>
      <c r="E10" s="235"/>
      <c r="F10" s="235"/>
      <c r="G10" s="235"/>
      <c r="H10" s="235"/>
      <c r="I10" s="235"/>
      <c r="J10" s="235"/>
      <c r="K10" s="235"/>
      <c r="L10" s="235"/>
      <c r="M10" s="235"/>
      <c r="N10" s="235"/>
      <c r="O10" s="235"/>
      <c r="P10" s="235"/>
      <c r="Q10" s="235"/>
      <c r="R10" s="235"/>
      <c r="S10" s="777"/>
      <c r="T10" s="228"/>
      <c r="U10" s="228"/>
      <c r="V10" s="228"/>
      <c r="W10" s="228"/>
      <c r="X10" s="228"/>
      <c r="Y10" s="228"/>
      <c r="Z10" s="228"/>
      <c r="AA10" s="228"/>
    </row>
    <row r="11" spans="1:27" ht="15" thickBot="1" x14ac:dyDescent="0.35">
      <c r="B11" s="778"/>
      <c r="C11" s="779" t="s">
        <v>1415</v>
      </c>
      <c r="D11" s="780">
        <f t="shared" ref="D11:R11" si="1">SUM(D6:D10)</f>
        <v>0</v>
      </c>
      <c r="E11" s="781">
        <f t="shared" si="1"/>
        <v>0</v>
      </c>
      <c r="F11" s="781">
        <f t="shared" si="1"/>
        <v>0</v>
      </c>
      <c r="G11" s="781">
        <f t="shared" si="1"/>
        <v>0</v>
      </c>
      <c r="H11" s="781">
        <f t="shared" si="1"/>
        <v>0</v>
      </c>
      <c r="I11" s="781">
        <f t="shared" si="1"/>
        <v>0</v>
      </c>
      <c r="J11" s="781">
        <f t="shared" si="1"/>
        <v>0</v>
      </c>
      <c r="K11" s="781">
        <f t="shared" si="1"/>
        <v>0</v>
      </c>
      <c r="L11" s="781">
        <f t="shared" si="1"/>
        <v>0</v>
      </c>
      <c r="M11" s="781">
        <f t="shared" si="1"/>
        <v>0</v>
      </c>
      <c r="N11" s="781">
        <f t="shared" si="1"/>
        <v>0</v>
      </c>
      <c r="O11" s="781">
        <f t="shared" si="1"/>
        <v>0</v>
      </c>
      <c r="P11" s="781">
        <f t="shared" si="1"/>
        <v>0</v>
      </c>
      <c r="Q11" s="781">
        <f t="shared" si="1"/>
        <v>0</v>
      </c>
      <c r="R11" s="782">
        <f t="shared" si="1"/>
        <v>0</v>
      </c>
      <c r="S11" s="769"/>
    </row>
    <row r="12" spans="1:27" ht="14.25" thickBot="1" x14ac:dyDescent="0.35">
      <c r="B12" s="783"/>
      <c r="C12" s="769"/>
      <c r="D12" s="770"/>
      <c r="E12" s="770"/>
      <c r="F12" s="770"/>
      <c r="G12" s="770"/>
      <c r="H12" s="770"/>
      <c r="I12" s="770"/>
      <c r="J12" s="770"/>
      <c r="K12" s="770"/>
      <c r="L12" s="770"/>
      <c r="M12" s="770"/>
      <c r="N12" s="770"/>
      <c r="O12" s="770"/>
      <c r="P12" s="770"/>
      <c r="Q12" s="770"/>
      <c r="R12" s="770"/>
      <c r="S12" s="769"/>
    </row>
    <row r="13" spans="1:27" ht="14.25" x14ac:dyDescent="0.3">
      <c r="B13" s="773" t="str">
        <f>B4</f>
        <v>3.2.</v>
      </c>
      <c r="C13" s="784" t="str">
        <f>C4</f>
        <v>Dopravní výkony (vozové km)</v>
      </c>
      <c r="D13" s="1854">
        <f>R4+1</f>
        <v>2041</v>
      </c>
      <c r="E13" s="1846">
        <f t="shared" ref="E13:R13" si="2">D13+1</f>
        <v>2042</v>
      </c>
      <c r="F13" s="1846">
        <f t="shared" si="2"/>
        <v>2043</v>
      </c>
      <c r="G13" s="1846">
        <f t="shared" si="2"/>
        <v>2044</v>
      </c>
      <c r="H13" s="1846">
        <f t="shared" si="2"/>
        <v>2045</v>
      </c>
      <c r="I13" s="1846">
        <f t="shared" si="2"/>
        <v>2046</v>
      </c>
      <c r="J13" s="1846">
        <f t="shared" si="2"/>
        <v>2047</v>
      </c>
      <c r="K13" s="1846">
        <f t="shared" si="2"/>
        <v>2048</v>
      </c>
      <c r="L13" s="1846">
        <f t="shared" si="2"/>
        <v>2049</v>
      </c>
      <c r="M13" s="1846">
        <f t="shared" si="2"/>
        <v>2050</v>
      </c>
      <c r="N13" s="1846">
        <f t="shared" si="2"/>
        <v>2051</v>
      </c>
      <c r="O13" s="1846">
        <f t="shared" si="2"/>
        <v>2052</v>
      </c>
      <c r="P13" s="1846">
        <f t="shared" si="2"/>
        <v>2053</v>
      </c>
      <c r="Q13" s="1846">
        <f t="shared" si="2"/>
        <v>2054</v>
      </c>
      <c r="R13" s="1852">
        <f t="shared" si="2"/>
        <v>2055</v>
      </c>
      <c r="S13" s="769"/>
    </row>
    <row r="14" spans="1:27" ht="15" thickBot="1" x14ac:dyDescent="0.35">
      <c r="B14" s="775" t="s">
        <v>5</v>
      </c>
      <c r="C14" s="785" t="str">
        <f>C5</f>
        <v xml:space="preserve">Scénář s projektem </v>
      </c>
      <c r="D14" s="1855"/>
      <c r="E14" s="1847"/>
      <c r="F14" s="1847"/>
      <c r="G14" s="1847"/>
      <c r="H14" s="1847"/>
      <c r="I14" s="1847"/>
      <c r="J14" s="1847"/>
      <c r="K14" s="1847"/>
      <c r="L14" s="1847"/>
      <c r="M14" s="1847"/>
      <c r="N14" s="1847"/>
      <c r="O14" s="1847"/>
      <c r="P14" s="1847"/>
      <c r="Q14" s="1847"/>
      <c r="R14" s="1853"/>
      <c r="S14" s="769"/>
    </row>
    <row r="15" spans="1:27" ht="14.25" x14ac:dyDescent="0.3">
      <c r="B15" s="135"/>
      <c r="C15" s="136" t="str">
        <f>C6</f>
        <v xml:space="preserve">vozové km, BUS </v>
      </c>
      <c r="D15" s="235"/>
      <c r="E15" s="235"/>
      <c r="F15" s="235"/>
      <c r="G15" s="235"/>
      <c r="H15" s="235"/>
      <c r="I15" s="235"/>
      <c r="J15" s="235"/>
      <c r="K15" s="235"/>
      <c r="L15" s="235"/>
      <c r="M15" s="235"/>
      <c r="N15" s="235"/>
      <c r="O15" s="235"/>
      <c r="P15" s="235"/>
      <c r="Q15" s="235"/>
      <c r="R15" s="235"/>
      <c r="S15" s="786"/>
    </row>
    <row r="16" spans="1:27" ht="14.25" x14ac:dyDescent="0.3">
      <c r="B16" s="135"/>
      <c r="C16" s="136" t="str">
        <f t="shared" ref="C16:C19" si="3">C7</f>
        <v>vozové km, trolejbus</v>
      </c>
      <c r="D16" s="235"/>
      <c r="E16" s="235"/>
      <c r="F16" s="235"/>
      <c r="G16" s="235"/>
      <c r="H16" s="235"/>
      <c r="I16" s="235"/>
      <c r="J16" s="235"/>
      <c r="K16" s="235"/>
      <c r="L16" s="235"/>
      <c r="M16" s="235"/>
      <c r="N16" s="235"/>
      <c r="O16" s="235"/>
      <c r="P16" s="235"/>
      <c r="Q16" s="235"/>
      <c r="R16" s="235"/>
      <c r="S16" s="786"/>
    </row>
    <row r="17" spans="1:36" ht="14.25" x14ac:dyDescent="0.3">
      <c r="B17" s="135"/>
      <c r="C17" s="136" t="str">
        <f t="shared" si="3"/>
        <v xml:space="preserve">vozové km, tramvaj </v>
      </c>
      <c r="D17" s="235"/>
      <c r="E17" s="235"/>
      <c r="F17" s="235"/>
      <c r="G17" s="235"/>
      <c r="H17" s="235"/>
      <c r="I17" s="235"/>
      <c r="J17" s="235"/>
      <c r="K17" s="235"/>
      <c r="L17" s="235"/>
      <c r="M17" s="235"/>
      <c r="N17" s="235"/>
      <c r="O17" s="235"/>
      <c r="P17" s="235"/>
      <c r="Q17" s="235"/>
      <c r="R17" s="235"/>
      <c r="S17" s="786"/>
    </row>
    <row r="18" spans="1:36" ht="14.25" x14ac:dyDescent="0.3">
      <c r="B18" s="135"/>
      <c r="C18" s="136" t="str">
        <f t="shared" si="3"/>
        <v xml:space="preserve">vozové km, metro </v>
      </c>
      <c r="D18" s="235"/>
      <c r="E18" s="235"/>
      <c r="F18" s="235"/>
      <c r="G18" s="235"/>
      <c r="H18" s="235"/>
      <c r="I18" s="235"/>
      <c r="J18" s="235"/>
      <c r="K18" s="235"/>
      <c r="L18" s="235"/>
      <c r="M18" s="235"/>
      <c r="N18" s="235"/>
      <c r="O18" s="235"/>
      <c r="P18" s="235"/>
      <c r="Q18" s="235"/>
      <c r="R18" s="235"/>
      <c r="S18" s="786"/>
    </row>
    <row r="19" spans="1:36" ht="14.25" x14ac:dyDescent="0.3">
      <c r="B19" s="135"/>
      <c r="C19" s="136" t="str">
        <f t="shared" si="3"/>
        <v xml:space="preserve">vozové km, IAD ovlivněná projektem </v>
      </c>
      <c r="D19" s="235"/>
      <c r="E19" s="235"/>
      <c r="F19" s="235"/>
      <c r="G19" s="235"/>
      <c r="H19" s="235"/>
      <c r="I19" s="235"/>
      <c r="J19" s="235"/>
      <c r="K19" s="235"/>
      <c r="L19" s="235"/>
      <c r="M19" s="235"/>
      <c r="N19" s="235"/>
      <c r="O19" s="235"/>
      <c r="P19" s="235"/>
      <c r="Q19" s="235"/>
      <c r="R19" s="235"/>
      <c r="S19" s="786"/>
    </row>
    <row r="20" spans="1:36" ht="15" thickBot="1" x14ac:dyDescent="0.35">
      <c r="B20" s="778"/>
      <c r="C20" s="779" t="str">
        <f>C11</f>
        <v xml:space="preserve">Celkem </v>
      </c>
      <c r="D20" s="780">
        <f t="shared" ref="D20:R20" si="4">SUM(D15:D19)</f>
        <v>0</v>
      </c>
      <c r="E20" s="781">
        <f t="shared" si="4"/>
        <v>0</v>
      </c>
      <c r="F20" s="781">
        <f t="shared" si="4"/>
        <v>0</v>
      </c>
      <c r="G20" s="781">
        <f t="shared" si="4"/>
        <v>0</v>
      </c>
      <c r="H20" s="781">
        <f t="shared" si="4"/>
        <v>0</v>
      </c>
      <c r="I20" s="781">
        <f t="shared" si="4"/>
        <v>0</v>
      </c>
      <c r="J20" s="781">
        <f t="shared" si="4"/>
        <v>0</v>
      </c>
      <c r="K20" s="781">
        <f t="shared" si="4"/>
        <v>0</v>
      </c>
      <c r="L20" s="781">
        <f t="shared" si="4"/>
        <v>0</v>
      </c>
      <c r="M20" s="781">
        <f t="shared" si="4"/>
        <v>0</v>
      </c>
      <c r="N20" s="781">
        <f t="shared" si="4"/>
        <v>0</v>
      </c>
      <c r="O20" s="781">
        <f t="shared" si="4"/>
        <v>0</v>
      </c>
      <c r="P20" s="781">
        <f t="shared" si="4"/>
        <v>0</v>
      </c>
      <c r="Q20" s="781">
        <f t="shared" si="4"/>
        <v>0</v>
      </c>
      <c r="R20" s="782">
        <f t="shared" si="4"/>
        <v>0</v>
      </c>
      <c r="S20" s="769"/>
    </row>
    <row r="21" spans="1:36" ht="14.25" thickBot="1" x14ac:dyDescent="0.35">
      <c r="B21" s="787"/>
      <c r="C21" s="788"/>
      <c r="D21" s="789"/>
      <c r="E21" s="789"/>
      <c r="F21" s="789"/>
      <c r="G21" s="789"/>
      <c r="H21" s="789"/>
      <c r="I21" s="789"/>
      <c r="J21" s="789"/>
      <c r="K21" s="789"/>
      <c r="L21" s="789"/>
      <c r="M21" s="789"/>
      <c r="N21" s="789"/>
      <c r="O21" s="789"/>
      <c r="P21" s="789"/>
      <c r="Q21" s="789"/>
      <c r="R21" s="789"/>
      <c r="S21" s="769"/>
    </row>
    <row r="22" spans="1:36" ht="14.25" x14ac:dyDescent="0.3">
      <c r="B22" s="790" t="s">
        <v>15</v>
      </c>
      <c r="C22" s="791" t="str">
        <f>C4</f>
        <v>Dopravní výkony (vozové km)</v>
      </c>
      <c r="D22" s="1848">
        <f>D4</f>
        <v>2026</v>
      </c>
      <c r="E22" s="1848">
        <f t="shared" ref="E22:R22" si="5">D22+1</f>
        <v>2027</v>
      </c>
      <c r="F22" s="1848">
        <f t="shared" si="5"/>
        <v>2028</v>
      </c>
      <c r="G22" s="1848">
        <f t="shared" si="5"/>
        <v>2029</v>
      </c>
      <c r="H22" s="1848">
        <f t="shared" si="5"/>
        <v>2030</v>
      </c>
      <c r="I22" s="1848">
        <f t="shared" si="5"/>
        <v>2031</v>
      </c>
      <c r="J22" s="1848">
        <f t="shared" si="5"/>
        <v>2032</v>
      </c>
      <c r="K22" s="1848">
        <f t="shared" si="5"/>
        <v>2033</v>
      </c>
      <c r="L22" s="1848">
        <f t="shared" si="5"/>
        <v>2034</v>
      </c>
      <c r="M22" s="1848">
        <f t="shared" si="5"/>
        <v>2035</v>
      </c>
      <c r="N22" s="1848">
        <f t="shared" si="5"/>
        <v>2036</v>
      </c>
      <c r="O22" s="1848">
        <f t="shared" si="5"/>
        <v>2037</v>
      </c>
      <c r="P22" s="1848">
        <f t="shared" si="5"/>
        <v>2038</v>
      </c>
      <c r="Q22" s="1848">
        <f t="shared" si="5"/>
        <v>2039</v>
      </c>
      <c r="R22" s="1856">
        <f t="shared" si="5"/>
        <v>2040</v>
      </c>
      <c r="S22" s="769"/>
    </row>
    <row r="23" spans="1:36" ht="13.5" customHeight="1" thickBot="1" x14ac:dyDescent="0.35">
      <c r="B23" s="792" t="s">
        <v>4</v>
      </c>
      <c r="C23" s="793" t="s">
        <v>1413</v>
      </c>
      <c r="D23" s="1849"/>
      <c r="E23" s="1849"/>
      <c r="F23" s="1849"/>
      <c r="G23" s="1849"/>
      <c r="H23" s="1849"/>
      <c r="I23" s="1849"/>
      <c r="J23" s="1849"/>
      <c r="K23" s="1849"/>
      <c r="L23" s="1849"/>
      <c r="M23" s="1849"/>
      <c r="N23" s="1849"/>
      <c r="O23" s="1849"/>
      <c r="P23" s="1849"/>
      <c r="Q23" s="1849"/>
      <c r="R23" s="1857"/>
      <c r="S23" s="794"/>
    </row>
    <row r="24" spans="1:36" ht="13.15" customHeight="1" x14ac:dyDescent="0.3">
      <c r="A24" s="472"/>
      <c r="B24" s="795"/>
      <c r="C24" s="796" t="str">
        <f>C6</f>
        <v xml:space="preserve">vozové km, BUS </v>
      </c>
      <c r="D24" s="235"/>
      <c r="E24" s="235"/>
      <c r="F24" s="235"/>
      <c r="G24" s="235"/>
      <c r="H24" s="235"/>
      <c r="I24" s="235"/>
      <c r="J24" s="235"/>
      <c r="K24" s="235"/>
      <c r="L24" s="235"/>
      <c r="M24" s="235"/>
      <c r="N24" s="235"/>
      <c r="O24" s="235"/>
      <c r="P24" s="235"/>
      <c r="Q24" s="235"/>
      <c r="R24" s="235"/>
      <c r="S24" s="797"/>
      <c r="T24" s="229"/>
      <c r="U24" s="229"/>
      <c r="V24" s="229"/>
      <c r="W24" s="229"/>
      <c r="X24" s="229"/>
      <c r="Y24" s="229"/>
      <c r="Z24" s="229"/>
      <c r="AC24" s="229"/>
      <c r="AD24" s="229"/>
      <c r="AE24" s="229"/>
      <c r="AF24" s="229"/>
      <c r="AG24" s="229"/>
      <c r="AH24" s="229"/>
      <c r="AI24" s="229"/>
      <c r="AJ24" s="229"/>
    </row>
    <row r="25" spans="1:36" ht="13.15" customHeight="1" x14ac:dyDescent="0.3">
      <c r="A25" s="472"/>
      <c r="B25" s="795"/>
      <c r="C25" s="796" t="str">
        <f t="shared" ref="C25:C28" si="6">C7</f>
        <v>vozové km, trolejbus</v>
      </c>
      <c r="D25" s="235"/>
      <c r="E25" s="235"/>
      <c r="F25" s="235"/>
      <c r="G25" s="235"/>
      <c r="H25" s="235"/>
      <c r="I25" s="235"/>
      <c r="J25" s="235"/>
      <c r="K25" s="235"/>
      <c r="L25" s="235"/>
      <c r="M25" s="235"/>
      <c r="N25" s="235"/>
      <c r="O25" s="235"/>
      <c r="P25" s="235"/>
      <c r="Q25" s="235"/>
      <c r="R25" s="235"/>
      <c r="S25" s="797"/>
      <c r="T25" s="229"/>
      <c r="U25" s="229"/>
      <c r="V25" s="229"/>
      <c r="W25" s="229"/>
      <c r="X25" s="229"/>
      <c r="Y25" s="229"/>
      <c r="Z25" s="229"/>
      <c r="AC25" s="229"/>
      <c r="AD25" s="229"/>
      <c r="AE25" s="229"/>
      <c r="AF25" s="229"/>
      <c r="AG25" s="229"/>
      <c r="AH25" s="229"/>
      <c r="AI25" s="229"/>
      <c r="AJ25" s="229"/>
    </row>
    <row r="26" spans="1:36" ht="13.15" customHeight="1" x14ac:dyDescent="0.3">
      <c r="A26" s="472"/>
      <c r="B26" s="795"/>
      <c r="C26" s="796" t="str">
        <f t="shared" si="6"/>
        <v xml:space="preserve">vozové km, tramvaj </v>
      </c>
      <c r="D26" s="235"/>
      <c r="E26" s="235"/>
      <c r="F26" s="235"/>
      <c r="G26" s="235"/>
      <c r="H26" s="235"/>
      <c r="I26" s="235"/>
      <c r="J26" s="235"/>
      <c r="K26" s="235"/>
      <c r="L26" s="235"/>
      <c r="M26" s="235"/>
      <c r="N26" s="235"/>
      <c r="O26" s="235"/>
      <c r="P26" s="235"/>
      <c r="Q26" s="235"/>
      <c r="R26" s="235"/>
      <c r="S26" s="797"/>
      <c r="T26" s="229"/>
      <c r="U26" s="229"/>
      <c r="V26" s="229"/>
      <c r="W26" s="229"/>
      <c r="X26" s="229"/>
      <c r="Y26" s="229"/>
      <c r="Z26" s="229"/>
      <c r="AC26" s="229"/>
      <c r="AD26" s="229"/>
      <c r="AE26" s="229"/>
      <c r="AF26" s="229"/>
      <c r="AG26" s="229"/>
      <c r="AH26" s="229"/>
      <c r="AI26" s="229"/>
      <c r="AJ26" s="229"/>
    </row>
    <row r="27" spans="1:36" ht="13.15" customHeight="1" x14ac:dyDescent="0.3">
      <c r="A27" s="472"/>
      <c r="B27" s="795"/>
      <c r="C27" s="796" t="str">
        <f t="shared" si="6"/>
        <v xml:space="preserve">vozové km, metro </v>
      </c>
      <c r="D27" s="235"/>
      <c r="E27" s="235"/>
      <c r="F27" s="235"/>
      <c r="G27" s="235"/>
      <c r="H27" s="235"/>
      <c r="I27" s="235"/>
      <c r="J27" s="235"/>
      <c r="K27" s="235"/>
      <c r="L27" s="235"/>
      <c r="M27" s="235"/>
      <c r="N27" s="235"/>
      <c r="O27" s="235"/>
      <c r="P27" s="235"/>
      <c r="Q27" s="235"/>
      <c r="R27" s="235"/>
      <c r="S27" s="797"/>
      <c r="T27" s="229"/>
      <c r="U27" s="229"/>
      <c r="V27" s="229"/>
      <c r="W27" s="229"/>
      <c r="X27" s="229"/>
      <c r="Y27" s="229"/>
      <c r="Z27" s="229"/>
      <c r="AC27" s="229"/>
      <c r="AD27" s="229"/>
      <c r="AE27" s="229"/>
      <c r="AF27" s="229"/>
      <c r="AG27" s="229"/>
      <c r="AH27" s="229"/>
      <c r="AI27" s="229"/>
      <c r="AJ27" s="229"/>
    </row>
    <row r="28" spans="1:36" ht="13.15" customHeight="1" x14ac:dyDescent="0.3">
      <c r="A28" s="472"/>
      <c r="B28" s="795"/>
      <c r="C28" s="796" t="str">
        <f t="shared" si="6"/>
        <v xml:space="preserve">vozové km, IAD ovlivněná projektem </v>
      </c>
      <c r="D28" s="235"/>
      <c r="E28" s="235"/>
      <c r="F28" s="235"/>
      <c r="G28" s="235"/>
      <c r="H28" s="235"/>
      <c r="I28" s="235"/>
      <c r="J28" s="235"/>
      <c r="K28" s="235"/>
      <c r="L28" s="235"/>
      <c r="M28" s="235"/>
      <c r="N28" s="235"/>
      <c r="O28" s="235"/>
      <c r="P28" s="235"/>
      <c r="Q28" s="235"/>
      <c r="R28" s="235"/>
      <c r="S28" s="797"/>
      <c r="T28" s="229"/>
      <c r="U28" s="229"/>
      <c r="V28" s="229"/>
      <c r="W28" s="229"/>
      <c r="X28" s="229"/>
      <c r="Y28" s="229"/>
      <c r="Z28" s="229"/>
      <c r="AC28" s="229"/>
      <c r="AD28" s="229"/>
      <c r="AE28" s="229"/>
      <c r="AF28" s="229"/>
      <c r="AG28" s="229"/>
      <c r="AH28" s="229"/>
      <c r="AI28" s="229"/>
      <c r="AJ28" s="229"/>
    </row>
    <row r="29" spans="1:36" ht="13.9" customHeight="1" thickBot="1" x14ac:dyDescent="0.35">
      <c r="B29" s="798"/>
      <c r="C29" s="799" t="s">
        <v>60</v>
      </c>
      <c r="D29" s="800">
        <f t="shared" ref="D29:R29" si="7">SUM(D24:D28)</f>
        <v>0</v>
      </c>
      <c r="E29" s="801">
        <f t="shared" si="7"/>
        <v>0</v>
      </c>
      <c r="F29" s="801">
        <f t="shared" si="7"/>
        <v>0</v>
      </c>
      <c r="G29" s="801">
        <f t="shared" si="7"/>
        <v>0</v>
      </c>
      <c r="H29" s="801">
        <f t="shared" si="7"/>
        <v>0</v>
      </c>
      <c r="I29" s="801">
        <f t="shared" si="7"/>
        <v>0</v>
      </c>
      <c r="J29" s="801">
        <f t="shared" si="7"/>
        <v>0</v>
      </c>
      <c r="K29" s="801">
        <f t="shared" si="7"/>
        <v>0</v>
      </c>
      <c r="L29" s="801">
        <f t="shared" si="7"/>
        <v>0</v>
      </c>
      <c r="M29" s="801">
        <f t="shared" si="7"/>
        <v>0</v>
      </c>
      <c r="N29" s="801">
        <f t="shared" si="7"/>
        <v>0</v>
      </c>
      <c r="O29" s="801">
        <f t="shared" si="7"/>
        <v>0</v>
      </c>
      <c r="P29" s="801">
        <f t="shared" si="7"/>
        <v>0</v>
      </c>
      <c r="Q29" s="801">
        <f t="shared" si="7"/>
        <v>0</v>
      </c>
      <c r="R29" s="802">
        <f t="shared" si="7"/>
        <v>0</v>
      </c>
      <c r="S29" s="770"/>
      <c r="T29" s="228"/>
      <c r="U29" s="228"/>
      <c r="V29" s="228"/>
      <c r="W29" s="228"/>
      <c r="X29" s="228"/>
      <c r="Y29" s="228"/>
      <c r="Z29" s="228"/>
      <c r="AC29" s="228"/>
      <c r="AD29" s="228"/>
      <c r="AE29" s="228"/>
      <c r="AF29" s="228"/>
      <c r="AG29" s="228"/>
      <c r="AH29" s="228"/>
      <c r="AI29" s="228"/>
      <c r="AJ29" s="228"/>
    </row>
    <row r="30" spans="1:36" ht="13.9" customHeight="1" thickBot="1" x14ac:dyDescent="0.35">
      <c r="B30" s="783"/>
      <c r="C30" s="769"/>
      <c r="D30" s="770"/>
      <c r="E30" s="770"/>
      <c r="F30" s="770"/>
      <c r="G30" s="770"/>
      <c r="H30" s="770"/>
      <c r="I30" s="770"/>
      <c r="J30" s="770"/>
      <c r="K30" s="770"/>
      <c r="L30" s="770"/>
      <c r="M30" s="770"/>
      <c r="N30" s="770"/>
      <c r="O30" s="770"/>
      <c r="P30" s="770"/>
      <c r="Q30" s="770"/>
      <c r="R30" s="770"/>
      <c r="S30" s="770"/>
      <c r="T30" s="228"/>
      <c r="U30" s="228"/>
      <c r="V30" s="228"/>
      <c r="W30" s="228"/>
      <c r="X30" s="228"/>
      <c r="Y30" s="228"/>
      <c r="Z30" s="228"/>
      <c r="AC30" s="228"/>
      <c r="AD30" s="228"/>
      <c r="AE30" s="228"/>
      <c r="AF30" s="228"/>
      <c r="AG30" s="228"/>
      <c r="AH30" s="228"/>
      <c r="AI30" s="228"/>
      <c r="AJ30" s="228"/>
    </row>
    <row r="31" spans="1:36" ht="13.15" customHeight="1" x14ac:dyDescent="0.3">
      <c r="B31" s="790" t="str">
        <f>B22</f>
        <v>3.3.</v>
      </c>
      <c r="C31" s="803" t="str">
        <f>C22</f>
        <v>Dopravní výkony (vozové km)</v>
      </c>
      <c r="D31" s="1880">
        <f>R22+1</f>
        <v>2041</v>
      </c>
      <c r="E31" s="1848">
        <f t="shared" ref="E31:R31" si="8">D31+1</f>
        <v>2042</v>
      </c>
      <c r="F31" s="1848">
        <f t="shared" si="8"/>
        <v>2043</v>
      </c>
      <c r="G31" s="1848">
        <f t="shared" si="8"/>
        <v>2044</v>
      </c>
      <c r="H31" s="1848">
        <f t="shared" si="8"/>
        <v>2045</v>
      </c>
      <c r="I31" s="1848">
        <f t="shared" si="8"/>
        <v>2046</v>
      </c>
      <c r="J31" s="1848">
        <f t="shared" si="8"/>
        <v>2047</v>
      </c>
      <c r="K31" s="1848">
        <f t="shared" si="8"/>
        <v>2048</v>
      </c>
      <c r="L31" s="1848">
        <f t="shared" si="8"/>
        <v>2049</v>
      </c>
      <c r="M31" s="1848">
        <f t="shared" si="8"/>
        <v>2050</v>
      </c>
      <c r="N31" s="1848">
        <f t="shared" si="8"/>
        <v>2051</v>
      </c>
      <c r="O31" s="1848">
        <f t="shared" si="8"/>
        <v>2052</v>
      </c>
      <c r="P31" s="1848">
        <f t="shared" si="8"/>
        <v>2053</v>
      </c>
      <c r="Q31" s="1848">
        <f t="shared" si="8"/>
        <v>2054</v>
      </c>
      <c r="R31" s="1856">
        <f t="shared" si="8"/>
        <v>2055</v>
      </c>
      <c r="S31" s="789"/>
      <c r="T31" s="230"/>
      <c r="U31" s="230"/>
      <c r="V31" s="230"/>
      <c r="W31" s="230"/>
      <c r="X31" s="230"/>
      <c r="Y31" s="230"/>
      <c r="Z31" s="230"/>
      <c r="AC31" s="228"/>
      <c r="AD31" s="228"/>
      <c r="AE31" s="228"/>
      <c r="AF31" s="228"/>
      <c r="AG31" s="228"/>
      <c r="AH31" s="228"/>
      <c r="AI31" s="228"/>
      <c r="AJ31" s="228"/>
    </row>
    <row r="32" spans="1:36" ht="13.9" customHeight="1" thickBot="1" x14ac:dyDescent="0.35">
      <c r="B32" s="792" t="s">
        <v>5</v>
      </c>
      <c r="C32" s="804" t="str">
        <f t="shared" ref="C32:C38" si="9">C23</f>
        <v xml:space="preserve">Scénář bez projektu </v>
      </c>
      <c r="D32" s="1881">
        <f>R23+1</f>
        <v>1</v>
      </c>
      <c r="E32" s="1849"/>
      <c r="F32" s="1849"/>
      <c r="G32" s="1849"/>
      <c r="H32" s="1849"/>
      <c r="I32" s="1849"/>
      <c r="J32" s="1849"/>
      <c r="K32" s="1849"/>
      <c r="L32" s="1849"/>
      <c r="M32" s="1849"/>
      <c r="N32" s="1849"/>
      <c r="O32" s="1849"/>
      <c r="P32" s="1849"/>
      <c r="Q32" s="1849"/>
      <c r="R32" s="1857"/>
      <c r="S32" s="769"/>
      <c r="AC32" s="230"/>
      <c r="AD32" s="230"/>
      <c r="AE32" s="230"/>
      <c r="AF32" s="230"/>
      <c r="AG32" s="230"/>
      <c r="AH32" s="230"/>
      <c r="AI32" s="230"/>
      <c r="AJ32" s="230"/>
    </row>
    <row r="33" spans="1:19" ht="14.25" x14ac:dyDescent="0.3">
      <c r="B33" s="135"/>
      <c r="C33" s="136" t="str">
        <f t="shared" si="9"/>
        <v xml:space="preserve">vozové km, BUS </v>
      </c>
      <c r="D33" s="235"/>
      <c r="E33" s="235"/>
      <c r="F33" s="235"/>
      <c r="G33" s="235"/>
      <c r="H33" s="235"/>
      <c r="I33" s="235"/>
      <c r="J33" s="235"/>
      <c r="K33" s="235"/>
      <c r="L33" s="235"/>
      <c r="M33" s="235"/>
      <c r="N33" s="235"/>
      <c r="O33" s="235"/>
      <c r="P33" s="235"/>
      <c r="Q33" s="235"/>
      <c r="R33" s="235"/>
      <c r="S33" s="786"/>
    </row>
    <row r="34" spans="1:19" ht="14.25" x14ac:dyDescent="0.3">
      <c r="B34" s="135"/>
      <c r="C34" s="136" t="str">
        <f t="shared" si="9"/>
        <v>vozové km, trolejbus</v>
      </c>
      <c r="D34" s="235"/>
      <c r="E34" s="235"/>
      <c r="F34" s="235"/>
      <c r="G34" s="235"/>
      <c r="H34" s="235"/>
      <c r="I34" s="235"/>
      <c r="J34" s="235"/>
      <c r="K34" s="235"/>
      <c r="L34" s="235"/>
      <c r="M34" s="235"/>
      <c r="N34" s="235"/>
      <c r="O34" s="235"/>
      <c r="P34" s="235"/>
      <c r="Q34" s="235"/>
      <c r="R34" s="235"/>
      <c r="S34" s="786"/>
    </row>
    <row r="35" spans="1:19" ht="14.25" x14ac:dyDescent="0.3">
      <c r="B35" s="135"/>
      <c r="C35" s="136" t="str">
        <f t="shared" si="9"/>
        <v xml:space="preserve">vozové km, tramvaj </v>
      </c>
      <c r="D35" s="235"/>
      <c r="E35" s="235"/>
      <c r="F35" s="235"/>
      <c r="G35" s="235"/>
      <c r="H35" s="235"/>
      <c r="I35" s="235"/>
      <c r="J35" s="235"/>
      <c r="K35" s="235"/>
      <c r="L35" s="235"/>
      <c r="M35" s="235"/>
      <c r="N35" s="235"/>
      <c r="O35" s="235"/>
      <c r="P35" s="235"/>
      <c r="Q35" s="235"/>
      <c r="R35" s="235"/>
      <c r="S35" s="786"/>
    </row>
    <row r="36" spans="1:19" ht="14.25" x14ac:dyDescent="0.3">
      <c r="B36" s="135"/>
      <c r="C36" s="136" t="str">
        <f t="shared" si="9"/>
        <v xml:space="preserve">vozové km, metro </v>
      </c>
      <c r="D36" s="235"/>
      <c r="E36" s="235"/>
      <c r="F36" s="235"/>
      <c r="G36" s="235"/>
      <c r="H36" s="235"/>
      <c r="I36" s="235"/>
      <c r="J36" s="235"/>
      <c r="K36" s="235"/>
      <c r="L36" s="235"/>
      <c r="M36" s="235"/>
      <c r="N36" s="235"/>
      <c r="O36" s="235"/>
      <c r="P36" s="235"/>
      <c r="Q36" s="235"/>
      <c r="R36" s="235"/>
      <c r="S36" s="786"/>
    </row>
    <row r="37" spans="1:19" ht="14.25" x14ac:dyDescent="0.3">
      <c r="B37" s="135"/>
      <c r="C37" s="136" t="str">
        <f t="shared" si="9"/>
        <v xml:space="preserve">vozové km, IAD ovlivněná projektem </v>
      </c>
      <c r="D37" s="235"/>
      <c r="E37" s="235"/>
      <c r="F37" s="235"/>
      <c r="G37" s="235"/>
      <c r="H37" s="235"/>
      <c r="I37" s="235"/>
      <c r="J37" s="235"/>
      <c r="K37" s="235"/>
      <c r="L37" s="235"/>
      <c r="M37" s="235"/>
      <c r="N37" s="235"/>
      <c r="O37" s="235"/>
      <c r="P37" s="235"/>
      <c r="Q37" s="235"/>
      <c r="R37" s="235"/>
      <c r="S37" s="786"/>
    </row>
    <row r="38" spans="1:19" ht="13.9" customHeight="1" thickBot="1" x14ac:dyDescent="0.35">
      <c r="B38" s="805"/>
      <c r="C38" s="799" t="str">
        <f t="shared" si="9"/>
        <v>Celkem</v>
      </c>
      <c r="D38" s="800">
        <f t="shared" ref="D38:R38" si="10">SUM(D33:D37)</f>
        <v>0</v>
      </c>
      <c r="E38" s="801">
        <f t="shared" si="10"/>
        <v>0</v>
      </c>
      <c r="F38" s="801">
        <f t="shared" si="10"/>
        <v>0</v>
      </c>
      <c r="G38" s="801">
        <f t="shared" si="10"/>
        <v>0</v>
      </c>
      <c r="H38" s="801">
        <f t="shared" si="10"/>
        <v>0</v>
      </c>
      <c r="I38" s="801">
        <f t="shared" si="10"/>
        <v>0</v>
      </c>
      <c r="J38" s="801">
        <f t="shared" si="10"/>
        <v>0</v>
      </c>
      <c r="K38" s="801">
        <f t="shared" si="10"/>
        <v>0</v>
      </c>
      <c r="L38" s="801">
        <f t="shared" si="10"/>
        <v>0</v>
      </c>
      <c r="M38" s="801">
        <f t="shared" si="10"/>
        <v>0</v>
      </c>
      <c r="N38" s="801">
        <f t="shared" si="10"/>
        <v>0</v>
      </c>
      <c r="O38" s="801">
        <f t="shared" si="10"/>
        <v>0</v>
      </c>
      <c r="P38" s="801">
        <f t="shared" si="10"/>
        <v>0</v>
      </c>
      <c r="Q38" s="801">
        <f t="shared" si="10"/>
        <v>0</v>
      </c>
      <c r="R38" s="802">
        <f t="shared" si="10"/>
        <v>0</v>
      </c>
      <c r="S38" s="769"/>
    </row>
    <row r="39" spans="1:19" ht="14.25" thickBot="1" x14ac:dyDescent="0.35">
      <c r="B39" s="769"/>
      <c r="C39" s="769"/>
      <c r="D39" s="769"/>
      <c r="E39" s="769"/>
      <c r="F39" s="769"/>
      <c r="G39" s="769"/>
      <c r="H39" s="769"/>
      <c r="I39" s="769"/>
      <c r="J39" s="769"/>
      <c r="K39" s="769"/>
      <c r="L39" s="769"/>
      <c r="M39" s="769"/>
      <c r="N39" s="769"/>
      <c r="O39" s="769"/>
      <c r="P39" s="769"/>
      <c r="Q39" s="769"/>
      <c r="R39" s="769"/>
      <c r="S39" s="769"/>
    </row>
    <row r="40" spans="1:19" s="12" customFormat="1" ht="12.75" customHeight="1" x14ac:dyDescent="0.3">
      <c r="B40" s="806" t="s">
        <v>16</v>
      </c>
      <c r="C40" s="807" t="s">
        <v>1423</v>
      </c>
      <c r="D40" s="1878">
        <f>D22</f>
        <v>2026</v>
      </c>
      <c r="E40" s="1850">
        <f t="shared" ref="E40:R40" si="11">D40+1</f>
        <v>2027</v>
      </c>
      <c r="F40" s="1850">
        <f t="shared" si="11"/>
        <v>2028</v>
      </c>
      <c r="G40" s="1850">
        <f t="shared" si="11"/>
        <v>2029</v>
      </c>
      <c r="H40" s="1850">
        <f t="shared" si="11"/>
        <v>2030</v>
      </c>
      <c r="I40" s="1850">
        <f t="shared" si="11"/>
        <v>2031</v>
      </c>
      <c r="J40" s="1850">
        <f t="shared" si="11"/>
        <v>2032</v>
      </c>
      <c r="K40" s="1850">
        <f t="shared" si="11"/>
        <v>2033</v>
      </c>
      <c r="L40" s="1850">
        <f t="shared" si="11"/>
        <v>2034</v>
      </c>
      <c r="M40" s="1850">
        <f t="shared" si="11"/>
        <v>2035</v>
      </c>
      <c r="N40" s="1850">
        <f t="shared" si="11"/>
        <v>2036</v>
      </c>
      <c r="O40" s="1850">
        <f t="shared" si="11"/>
        <v>2037</v>
      </c>
      <c r="P40" s="1850">
        <f t="shared" si="11"/>
        <v>2038</v>
      </c>
      <c r="Q40" s="1850">
        <f t="shared" si="11"/>
        <v>2039</v>
      </c>
      <c r="R40" s="1882">
        <f t="shared" si="11"/>
        <v>2040</v>
      </c>
      <c r="S40" s="17"/>
    </row>
    <row r="41" spans="1:19" s="12" customFormat="1" ht="12.75" customHeight="1" thickBot="1" x14ac:dyDescent="0.35">
      <c r="B41" s="808" t="s">
        <v>4</v>
      </c>
      <c r="C41" s="809"/>
      <c r="D41" s="1879"/>
      <c r="E41" s="1851"/>
      <c r="F41" s="1851"/>
      <c r="G41" s="1851"/>
      <c r="H41" s="1851"/>
      <c r="I41" s="1851"/>
      <c r="J41" s="1851"/>
      <c r="K41" s="1851"/>
      <c r="L41" s="1851"/>
      <c r="M41" s="1851"/>
      <c r="N41" s="1851"/>
      <c r="O41" s="1851"/>
      <c r="P41" s="1851"/>
      <c r="Q41" s="1851"/>
      <c r="R41" s="1883"/>
      <c r="S41" s="17"/>
    </row>
    <row r="42" spans="1:19" s="12" customFormat="1" ht="12.75" customHeight="1" x14ac:dyDescent="0.3">
      <c r="A42" s="108"/>
      <c r="B42" s="810"/>
      <c r="C42" s="811" t="str">
        <f>C33</f>
        <v xml:space="preserve">vozové km, BUS </v>
      </c>
      <c r="D42" s="812">
        <f>D6-D24</f>
        <v>0</v>
      </c>
      <c r="E42" s="813">
        <f t="shared" ref="E42:R42" si="12">E6-E24</f>
        <v>0</v>
      </c>
      <c r="F42" s="813">
        <f t="shared" si="12"/>
        <v>0</v>
      </c>
      <c r="G42" s="813">
        <f t="shared" si="12"/>
        <v>0</v>
      </c>
      <c r="H42" s="813">
        <f t="shared" si="12"/>
        <v>0</v>
      </c>
      <c r="I42" s="813">
        <f t="shared" si="12"/>
        <v>0</v>
      </c>
      <c r="J42" s="813">
        <f t="shared" si="12"/>
        <v>0</v>
      </c>
      <c r="K42" s="813">
        <f t="shared" si="12"/>
        <v>0</v>
      </c>
      <c r="L42" s="813">
        <f t="shared" si="12"/>
        <v>0</v>
      </c>
      <c r="M42" s="813">
        <f t="shared" si="12"/>
        <v>0</v>
      </c>
      <c r="N42" s="813">
        <f t="shared" si="12"/>
        <v>0</v>
      </c>
      <c r="O42" s="813">
        <f t="shared" si="12"/>
        <v>0</v>
      </c>
      <c r="P42" s="813">
        <f t="shared" si="12"/>
        <v>0</v>
      </c>
      <c r="Q42" s="813">
        <f t="shared" si="12"/>
        <v>0</v>
      </c>
      <c r="R42" s="814">
        <f t="shared" si="12"/>
        <v>0</v>
      </c>
      <c r="S42" s="17"/>
    </row>
    <row r="43" spans="1:19" s="12" customFormat="1" ht="12.75" customHeight="1" x14ac:dyDescent="0.3">
      <c r="A43" s="108"/>
      <c r="B43" s="815"/>
      <c r="C43" s="816" t="str">
        <f t="shared" ref="C43:C46" si="13">C34</f>
        <v>vozové km, trolejbus</v>
      </c>
      <c r="D43" s="817">
        <f t="shared" ref="D43:R46" si="14">D7-D25</f>
        <v>0</v>
      </c>
      <c r="E43" s="818">
        <f t="shared" si="14"/>
        <v>0</v>
      </c>
      <c r="F43" s="818">
        <f t="shared" si="14"/>
        <v>0</v>
      </c>
      <c r="G43" s="818">
        <f t="shared" si="14"/>
        <v>0</v>
      </c>
      <c r="H43" s="818">
        <f t="shared" si="14"/>
        <v>0</v>
      </c>
      <c r="I43" s="818">
        <f t="shared" si="14"/>
        <v>0</v>
      </c>
      <c r="J43" s="818">
        <f t="shared" si="14"/>
        <v>0</v>
      </c>
      <c r="K43" s="818">
        <f t="shared" si="14"/>
        <v>0</v>
      </c>
      <c r="L43" s="818">
        <f t="shared" si="14"/>
        <v>0</v>
      </c>
      <c r="M43" s="818">
        <f t="shared" si="14"/>
        <v>0</v>
      </c>
      <c r="N43" s="818">
        <f t="shared" si="14"/>
        <v>0</v>
      </c>
      <c r="O43" s="818">
        <f t="shared" si="14"/>
        <v>0</v>
      </c>
      <c r="P43" s="818">
        <f t="shared" si="14"/>
        <v>0</v>
      </c>
      <c r="Q43" s="818">
        <f t="shared" si="14"/>
        <v>0</v>
      </c>
      <c r="R43" s="819">
        <f t="shared" si="14"/>
        <v>0</v>
      </c>
      <c r="S43" s="17"/>
    </row>
    <row r="44" spans="1:19" s="12" customFormat="1" ht="12.75" customHeight="1" x14ac:dyDescent="0.3">
      <c r="A44" s="108"/>
      <c r="B44" s="815"/>
      <c r="C44" s="816" t="str">
        <f t="shared" si="13"/>
        <v xml:space="preserve">vozové km, tramvaj </v>
      </c>
      <c r="D44" s="817">
        <f t="shared" si="14"/>
        <v>0</v>
      </c>
      <c r="E44" s="818">
        <f t="shared" si="14"/>
        <v>0</v>
      </c>
      <c r="F44" s="818">
        <f t="shared" si="14"/>
        <v>0</v>
      </c>
      <c r="G44" s="818">
        <f t="shared" si="14"/>
        <v>0</v>
      </c>
      <c r="H44" s="818">
        <f t="shared" si="14"/>
        <v>0</v>
      </c>
      <c r="I44" s="818">
        <f t="shared" si="14"/>
        <v>0</v>
      </c>
      <c r="J44" s="818">
        <f t="shared" si="14"/>
        <v>0</v>
      </c>
      <c r="K44" s="818">
        <f t="shared" si="14"/>
        <v>0</v>
      </c>
      <c r="L44" s="818">
        <f t="shared" si="14"/>
        <v>0</v>
      </c>
      <c r="M44" s="818">
        <f t="shared" si="14"/>
        <v>0</v>
      </c>
      <c r="N44" s="818">
        <f t="shared" si="14"/>
        <v>0</v>
      </c>
      <c r="O44" s="818">
        <f t="shared" si="14"/>
        <v>0</v>
      </c>
      <c r="P44" s="818">
        <f t="shared" si="14"/>
        <v>0</v>
      </c>
      <c r="Q44" s="818">
        <f t="shared" si="14"/>
        <v>0</v>
      </c>
      <c r="R44" s="819">
        <f t="shared" si="14"/>
        <v>0</v>
      </c>
      <c r="S44" s="17"/>
    </row>
    <row r="45" spans="1:19" s="12" customFormat="1" ht="12.75" customHeight="1" x14ac:dyDescent="0.3">
      <c r="A45" s="108"/>
      <c r="B45" s="815"/>
      <c r="C45" s="816" t="str">
        <f t="shared" si="13"/>
        <v xml:space="preserve">vozové km, metro </v>
      </c>
      <c r="D45" s="817">
        <f t="shared" si="14"/>
        <v>0</v>
      </c>
      <c r="E45" s="818">
        <f t="shared" si="14"/>
        <v>0</v>
      </c>
      <c r="F45" s="818">
        <f t="shared" si="14"/>
        <v>0</v>
      </c>
      <c r="G45" s="818">
        <f t="shared" si="14"/>
        <v>0</v>
      </c>
      <c r="H45" s="818">
        <f t="shared" si="14"/>
        <v>0</v>
      </c>
      <c r="I45" s="818">
        <f t="shared" si="14"/>
        <v>0</v>
      </c>
      <c r="J45" s="818">
        <f t="shared" si="14"/>
        <v>0</v>
      </c>
      <c r="K45" s="818">
        <f t="shared" si="14"/>
        <v>0</v>
      </c>
      <c r="L45" s="818">
        <f t="shared" si="14"/>
        <v>0</v>
      </c>
      <c r="M45" s="818">
        <f t="shared" si="14"/>
        <v>0</v>
      </c>
      <c r="N45" s="818">
        <f t="shared" si="14"/>
        <v>0</v>
      </c>
      <c r="O45" s="818">
        <f t="shared" si="14"/>
        <v>0</v>
      </c>
      <c r="P45" s="818">
        <f t="shared" si="14"/>
        <v>0</v>
      </c>
      <c r="Q45" s="818">
        <f t="shared" si="14"/>
        <v>0</v>
      </c>
      <c r="R45" s="819">
        <f t="shared" si="14"/>
        <v>0</v>
      </c>
      <c r="S45" s="17"/>
    </row>
    <row r="46" spans="1:19" s="12" customFormat="1" ht="12.75" customHeight="1" x14ac:dyDescent="0.3">
      <c r="A46" s="108"/>
      <c r="B46" s="815"/>
      <c r="C46" s="816" t="str">
        <f t="shared" si="13"/>
        <v xml:space="preserve">vozové km, IAD ovlivněná projektem </v>
      </c>
      <c r="D46" s="820">
        <f t="shared" si="14"/>
        <v>0</v>
      </c>
      <c r="E46" s="821">
        <f t="shared" si="14"/>
        <v>0</v>
      </c>
      <c r="F46" s="821">
        <f t="shared" si="14"/>
        <v>0</v>
      </c>
      <c r="G46" s="821">
        <f t="shared" si="14"/>
        <v>0</v>
      </c>
      <c r="H46" s="821">
        <f t="shared" si="14"/>
        <v>0</v>
      </c>
      <c r="I46" s="821">
        <f t="shared" si="14"/>
        <v>0</v>
      </c>
      <c r="J46" s="821">
        <f t="shared" si="14"/>
        <v>0</v>
      </c>
      <c r="K46" s="821">
        <f t="shared" si="14"/>
        <v>0</v>
      </c>
      <c r="L46" s="821">
        <f t="shared" si="14"/>
        <v>0</v>
      </c>
      <c r="M46" s="821">
        <f t="shared" si="14"/>
        <v>0</v>
      </c>
      <c r="N46" s="821">
        <f t="shared" si="14"/>
        <v>0</v>
      </c>
      <c r="O46" s="821">
        <f t="shared" si="14"/>
        <v>0</v>
      </c>
      <c r="P46" s="821">
        <f t="shared" si="14"/>
        <v>0</v>
      </c>
      <c r="Q46" s="821">
        <f t="shared" si="14"/>
        <v>0</v>
      </c>
      <c r="R46" s="822">
        <f t="shared" si="14"/>
        <v>0</v>
      </c>
      <c r="S46" s="17"/>
    </row>
    <row r="47" spans="1:19" s="12" customFormat="1" ht="15" thickBot="1" x14ac:dyDescent="0.35">
      <c r="B47" s="823"/>
      <c r="C47" s="824" t="s">
        <v>1415</v>
      </c>
      <c r="D47" s="825">
        <f>SUM(D42:D46)</f>
        <v>0</v>
      </c>
      <c r="E47" s="825">
        <f t="shared" ref="E47:R47" si="15">SUM(E42:E46)</f>
        <v>0</v>
      </c>
      <c r="F47" s="825">
        <f t="shared" si="15"/>
        <v>0</v>
      </c>
      <c r="G47" s="825">
        <f t="shared" si="15"/>
        <v>0</v>
      </c>
      <c r="H47" s="825">
        <f t="shared" si="15"/>
        <v>0</v>
      </c>
      <c r="I47" s="825">
        <f t="shared" si="15"/>
        <v>0</v>
      </c>
      <c r="J47" s="825">
        <f t="shared" si="15"/>
        <v>0</v>
      </c>
      <c r="K47" s="825">
        <f t="shared" si="15"/>
        <v>0</v>
      </c>
      <c r="L47" s="825">
        <f t="shared" si="15"/>
        <v>0</v>
      </c>
      <c r="M47" s="825">
        <f t="shared" si="15"/>
        <v>0</v>
      </c>
      <c r="N47" s="825">
        <f t="shared" si="15"/>
        <v>0</v>
      </c>
      <c r="O47" s="825">
        <f t="shared" si="15"/>
        <v>0</v>
      </c>
      <c r="P47" s="825">
        <f t="shared" si="15"/>
        <v>0</v>
      </c>
      <c r="Q47" s="825">
        <f t="shared" si="15"/>
        <v>0</v>
      </c>
      <c r="R47" s="826">
        <f t="shared" si="15"/>
        <v>0</v>
      </c>
      <c r="S47" s="17"/>
    </row>
    <row r="48" spans="1:19" s="12" customFormat="1" ht="14.25" thickBot="1" x14ac:dyDescent="0.35">
      <c r="B48" s="827"/>
      <c r="C48" s="17"/>
      <c r="D48" s="828"/>
      <c r="E48" s="828"/>
      <c r="F48" s="828"/>
      <c r="G48" s="828"/>
      <c r="H48" s="828"/>
      <c r="I48" s="828"/>
      <c r="J48" s="828"/>
      <c r="K48" s="828"/>
      <c r="L48" s="828"/>
      <c r="M48" s="828"/>
      <c r="N48" s="828"/>
      <c r="O48" s="828"/>
      <c r="P48" s="828"/>
      <c r="Q48" s="828"/>
      <c r="R48" s="828"/>
      <c r="S48" s="17"/>
    </row>
    <row r="49" spans="1:27" s="12" customFormat="1" ht="12.75" customHeight="1" x14ac:dyDescent="0.3">
      <c r="B49" s="806" t="s">
        <v>16</v>
      </c>
      <c r="C49" s="807" t="str">
        <f>C40</f>
        <v>Přírůstkové dopravní výkony (vzkm)</v>
      </c>
      <c r="D49" s="1878">
        <f>R40+1</f>
        <v>2041</v>
      </c>
      <c r="E49" s="1850">
        <f t="shared" ref="E49:R49" si="16">D49+1</f>
        <v>2042</v>
      </c>
      <c r="F49" s="1850">
        <f t="shared" si="16"/>
        <v>2043</v>
      </c>
      <c r="G49" s="1850">
        <f t="shared" si="16"/>
        <v>2044</v>
      </c>
      <c r="H49" s="1850">
        <f t="shared" si="16"/>
        <v>2045</v>
      </c>
      <c r="I49" s="1850">
        <f t="shared" si="16"/>
        <v>2046</v>
      </c>
      <c r="J49" s="1850">
        <f t="shared" si="16"/>
        <v>2047</v>
      </c>
      <c r="K49" s="1850">
        <f t="shared" si="16"/>
        <v>2048</v>
      </c>
      <c r="L49" s="1850">
        <f t="shared" si="16"/>
        <v>2049</v>
      </c>
      <c r="M49" s="1850">
        <f t="shared" si="16"/>
        <v>2050</v>
      </c>
      <c r="N49" s="1850">
        <f t="shared" si="16"/>
        <v>2051</v>
      </c>
      <c r="O49" s="1850">
        <f t="shared" si="16"/>
        <v>2052</v>
      </c>
      <c r="P49" s="1850">
        <f t="shared" si="16"/>
        <v>2053</v>
      </c>
      <c r="Q49" s="1850">
        <f t="shared" si="16"/>
        <v>2054</v>
      </c>
      <c r="R49" s="1882">
        <f t="shared" si="16"/>
        <v>2055</v>
      </c>
      <c r="S49" s="17"/>
    </row>
    <row r="50" spans="1:27" s="12" customFormat="1" ht="12.75" customHeight="1" thickBot="1" x14ac:dyDescent="0.35">
      <c r="B50" s="808" t="s">
        <v>5</v>
      </c>
      <c r="C50" s="809"/>
      <c r="D50" s="1879">
        <f>R41+1</f>
        <v>1</v>
      </c>
      <c r="E50" s="1851"/>
      <c r="F50" s="1851"/>
      <c r="G50" s="1851"/>
      <c r="H50" s="1851"/>
      <c r="I50" s="1851"/>
      <c r="J50" s="1851"/>
      <c r="K50" s="1851"/>
      <c r="L50" s="1851"/>
      <c r="M50" s="1851"/>
      <c r="N50" s="1851"/>
      <c r="O50" s="1851"/>
      <c r="P50" s="1851"/>
      <c r="Q50" s="1851"/>
      <c r="R50" s="1883"/>
      <c r="S50" s="17"/>
    </row>
    <row r="51" spans="1:27" s="12" customFormat="1" ht="12.75" customHeight="1" x14ac:dyDescent="0.3">
      <c r="A51" s="108"/>
      <c r="B51" s="810"/>
      <c r="C51" s="811" t="str">
        <f>C42</f>
        <v xml:space="preserve">vozové km, BUS </v>
      </c>
      <c r="D51" s="812">
        <f>D15-D33</f>
        <v>0</v>
      </c>
      <c r="E51" s="813">
        <f t="shared" ref="E51:R51" si="17">E15-E33</f>
        <v>0</v>
      </c>
      <c r="F51" s="813">
        <f t="shared" si="17"/>
        <v>0</v>
      </c>
      <c r="G51" s="813">
        <f t="shared" si="17"/>
        <v>0</v>
      </c>
      <c r="H51" s="813">
        <f t="shared" si="17"/>
        <v>0</v>
      </c>
      <c r="I51" s="813">
        <f t="shared" si="17"/>
        <v>0</v>
      </c>
      <c r="J51" s="813">
        <f t="shared" si="17"/>
        <v>0</v>
      </c>
      <c r="K51" s="813">
        <f t="shared" si="17"/>
        <v>0</v>
      </c>
      <c r="L51" s="813">
        <f t="shared" si="17"/>
        <v>0</v>
      </c>
      <c r="M51" s="813">
        <f t="shared" si="17"/>
        <v>0</v>
      </c>
      <c r="N51" s="813">
        <f t="shared" si="17"/>
        <v>0</v>
      </c>
      <c r="O51" s="813">
        <f t="shared" si="17"/>
        <v>0</v>
      </c>
      <c r="P51" s="813">
        <f t="shared" si="17"/>
        <v>0</v>
      </c>
      <c r="Q51" s="813">
        <f t="shared" si="17"/>
        <v>0</v>
      </c>
      <c r="R51" s="814">
        <f t="shared" si="17"/>
        <v>0</v>
      </c>
      <c r="S51" s="17"/>
    </row>
    <row r="52" spans="1:27" s="12" customFormat="1" ht="12.75" customHeight="1" x14ac:dyDescent="0.3">
      <c r="A52" s="108"/>
      <c r="B52" s="815"/>
      <c r="C52" s="816" t="str">
        <f t="shared" ref="C52:C55" si="18">C43</f>
        <v>vozové km, trolejbus</v>
      </c>
      <c r="D52" s="817">
        <f t="shared" ref="D52:R55" si="19">D16-D34</f>
        <v>0</v>
      </c>
      <c r="E52" s="818">
        <f t="shared" si="19"/>
        <v>0</v>
      </c>
      <c r="F52" s="818">
        <f t="shared" si="19"/>
        <v>0</v>
      </c>
      <c r="G52" s="818">
        <f t="shared" si="19"/>
        <v>0</v>
      </c>
      <c r="H52" s="818">
        <f t="shared" si="19"/>
        <v>0</v>
      </c>
      <c r="I52" s="818">
        <f t="shared" si="19"/>
        <v>0</v>
      </c>
      <c r="J52" s="818">
        <f t="shared" si="19"/>
        <v>0</v>
      </c>
      <c r="K52" s="818">
        <f t="shared" si="19"/>
        <v>0</v>
      </c>
      <c r="L52" s="818">
        <f t="shared" si="19"/>
        <v>0</v>
      </c>
      <c r="M52" s="818">
        <f t="shared" si="19"/>
        <v>0</v>
      </c>
      <c r="N52" s="818">
        <f t="shared" si="19"/>
        <v>0</v>
      </c>
      <c r="O52" s="818">
        <f t="shared" si="19"/>
        <v>0</v>
      </c>
      <c r="P52" s="818">
        <f t="shared" si="19"/>
        <v>0</v>
      </c>
      <c r="Q52" s="818">
        <f t="shared" si="19"/>
        <v>0</v>
      </c>
      <c r="R52" s="819">
        <f t="shared" si="19"/>
        <v>0</v>
      </c>
      <c r="S52" s="17"/>
      <c r="U52" s="139"/>
      <c r="V52" s="139"/>
      <c r="W52" s="139"/>
      <c r="X52" s="139"/>
      <c r="Y52" s="139"/>
    </row>
    <row r="53" spans="1:27" s="12" customFormat="1" ht="12.75" customHeight="1" x14ac:dyDescent="0.3">
      <c r="A53" s="108"/>
      <c r="B53" s="815"/>
      <c r="C53" s="816" t="str">
        <f t="shared" si="18"/>
        <v xml:space="preserve">vozové km, tramvaj </v>
      </c>
      <c r="D53" s="817">
        <f t="shared" si="19"/>
        <v>0</v>
      </c>
      <c r="E53" s="818">
        <f t="shared" si="19"/>
        <v>0</v>
      </c>
      <c r="F53" s="818">
        <f t="shared" si="19"/>
        <v>0</v>
      </c>
      <c r="G53" s="818">
        <f t="shared" si="19"/>
        <v>0</v>
      </c>
      <c r="H53" s="818">
        <f t="shared" si="19"/>
        <v>0</v>
      </c>
      <c r="I53" s="818">
        <f t="shared" si="19"/>
        <v>0</v>
      </c>
      <c r="J53" s="818">
        <f t="shared" si="19"/>
        <v>0</v>
      </c>
      <c r="K53" s="818">
        <f t="shared" si="19"/>
        <v>0</v>
      </c>
      <c r="L53" s="818">
        <f t="shared" si="19"/>
        <v>0</v>
      </c>
      <c r="M53" s="818">
        <f t="shared" si="19"/>
        <v>0</v>
      </c>
      <c r="N53" s="818">
        <f t="shared" si="19"/>
        <v>0</v>
      </c>
      <c r="O53" s="818">
        <f t="shared" si="19"/>
        <v>0</v>
      </c>
      <c r="P53" s="818">
        <f t="shared" si="19"/>
        <v>0</v>
      </c>
      <c r="Q53" s="818">
        <f t="shared" si="19"/>
        <v>0</v>
      </c>
      <c r="R53" s="819">
        <f t="shared" si="19"/>
        <v>0</v>
      </c>
      <c r="S53" s="17"/>
      <c r="U53" s="139"/>
      <c r="V53" s="140"/>
      <c r="W53" s="140"/>
      <c r="X53" s="140"/>
      <c r="Y53" s="139"/>
    </row>
    <row r="54" spans="1:27" s="12" customFormat="1" ht="12.75" customHeight="1" x14ac:dyDescent="0.3">
      <c r="A54" s="108"/>
      <c r="B54" s="815"/>
      <c r="C54" s="816" t="str">
        <f t="shared" si="18"/>
        <v xml:space="preserve">vozové km, metro </v>
      </c>
      <c r="D54" s="817">
        <f t="shared" si="19"/>
        <v>0</v>
      </c>
      <c r="E54" s="818">
        <f t="shared" si="19"/>
        <v>0</v>
      </c>
      <c r="F54" s="818">
        <f t="shared" si="19"/>
        <v>0</v>
      </c>
      <c r="G54" s="818">
        <f t="shared" si="19"/>
        <v>0</v>
      </c>
      <c r="H54" s="818">
        <f t="shared" si="19"/>
        <v>0</v>
      </c>
      <c r="I54" s="818">
        <f t="shared" si="19"/>
        <v>0</v>
      </c>
      <c r="J54" s="818">
        <f t="shared" si="19"/>
        <v>0</v>
      </c>
      <c r="K54" s="818">
        <f t="shared" si="19"/>
        <v>0</v>
      </c>
      <c r="L54" s="818">
        <f t="shared" si="19"/>
        <v>0</v>
      </c>
      <c r="M54" s="818">
        <f t="shared" si="19"/>
        <v>0</v>
      </c>
      <c r="N54" s="818">
        <f t="shared" si="19"/>
        <v>0</v>
      </c>
      <c r="O54" s="818">
        <f t="shared" si="19"/>
        <v>0</v>
      </c>
      <c r="P54" s="818">
        <f t="shared" si="19"/>
        <v>0</v>
      </c>
      <c r="Q54" s="818">
        <f t="shared" si="19"/>
        <v>0</v>
      </c>
      <c r="R54" s="819">
        <f t="shared" si="19"/>
        <v>0</v>
      </c>
      <c r="S54" s="17"/>
      <c r="U54" s="139"/>
      <c r="V54" s="140"/>
      <c r="W54" s="140"/>
      <c r="X54" s="140"/>
      <c r="Y54" s="139"/>
    </row>
    <row r="55" spans="1:27" s="12" customFormat="1" ht="12.75" customHeight="1" x14ac:dyDescent="0.3">
      <c r="A55" s="108"/>
      <c r="B55" s="815"/>
      <c r="C55" s="816" t="str">
        <f t="shared" si="18"/>
        <v xml:space="preserve">vozové km, IAD ovlivněná projektem </v>
      </c>
      <c r="D55" s="820">
        <f t="shared" si="19"/>
        <v>0</v>
      </c>
      <c r="E55" s="821">
        <f t="shared" si="19"/>
        <v>0</v>
      </c>
      <c r="F55" s="821">
        <f t="shared" si="19"/>
        <v>0</v>
      </c>
      <c r="G55" s="821">
        <f t="shared" si="19"/>
        <v>0</v>
      </c>
      <c r="H55" s="821">
        <f t="shared" si="19"/>
        <v>0</v>
      </c>
      <c r="I55" s="821">
        <f t="shared" si="19"/>
        <v>0</v>
      </c>
      <c r="J55" s="821">
        <f t="shared" si="19"/>
        <v>0</v>
      </c>
      <c r="K55" s="821">
        <f t="shared" si="19"/>
        <v>0</v>
      </c>
      <c r="L55" s="821">
        <f t="shared" si="19"/>
        <v>0</v>
      </c>
      <c r="M55" s="821">
        <f t="shared" si="19"/>
        <v>0</v>
      </c>
      <c r="N55" s="821">
        <f t="shared" si="19"/>
        <v>0</v>
      </c>
      <c r="O55" s="821">
        <f t="shared" si="19"/>
        <v>0</v>
      </c>
      <c r="P55" s="821">
        <f t="shared" si="19"/>
        <v>0</v>
      </c>
      <c r="Q55" s="821">
        <f t="shared" si="19"/>
        <v>0</v>
      </c>
      <c r="R55" s="822">
        <f t="shared" si="19"/>
        <v>0</v>
      </c>
      <c r="S55" s="17"/>
      <c r="U55" s="139"/>
      <c r="V55" s="140"/>
      <c r="W55" s="140"/>
      <c r="X55" s="140"/>
      <c r="Y55" s="139"/>
    </row>
    <row r="56" spans="1:27" s="12" customFormat="1" ht="15" thickBot="1" x14ac:dyDescent="0.35">
      <c r="B56" s="823"/>
      <c r="C56" s="824" t="s">
        <v>60</v>
      </c>
      <c r="D56" s="825">
        <f>SUM(D51:D55)</f>
        <v>0</v>
      </c>
      <c r="E56" s="825">
        <f t="shared" ref="E56:R56" si="20">SUM(E51:E55)</f>
        <v>0</v>
      </c>
      <c r="F56" s="825">
        <f t="shared" si="20"/>
        <v>0</v>
      </c>
      <c r="G56" s="825">
        <f t="shared" si="20"/>
        <v>0</v>
      </c>
      <c r="H56" s="825">
        <f t="shared" si="20"/>
        <v>0</v>
      </c>
      <c r="I56" s="825">
        <f t="shared" si="20"/>
        <v>0</v>
      </c>
      <c r="J56" s="825">
        <f t="shared" si="20"/>
        <v>0</v>
      </c>
      <c r="K56" s="825">
        <f t="shared" si="20"/>
        <v>0</v>
      </c>
      <c r="L56" s="825">
        <f t="shared" si="20"/>
        <v>0</v>
      </c>
      <c r="M56" s="825">
        <f t="shared" si="20"/>
        <v>0</v>
      </c>
      <c r="N56" s="825">
        <f t="shared" si="20"/>
        <v>0</v>
      </c>
      <c r="O56" s="825">
        <f t="shared" si="20"/>
        <v>0</v>
      </c>
      <c r="P56" s="825">
        <f t="shared" si="20"/>
        <v>0</v>
      </c>
      <c r="Q56" s="825">
        <f t="shared" si="20"/>
        <v>0</v>
      </c>
      <c r="R56" s="826">
        <f t="shared" si="20"/>
        <v>0</v>
      </c>
      <c r="S56" s="17"/>
      <c r="U56" s="141"/>
      <c r="V56" s="139"/>
      <c r="W56" s="139"/>
      <c r="X56" s="139"/>
      <c r="Y56" s="139"/>
    </row>
    <row r="57" spans="1:27" ht="14.25" thickBot="1" x14ac:dyDescent="0.35">
      <c r="B57" s="769"/>
      <c r="C57" s="769"/>
      <c r="D57" s="769"/>
      <c r="E57" s="769"/>
      <c r="F57" s="769"/>
      <c r="G57" s="769"/>
      <c r="H57" s="769"/>
      <c r="I57" s="769"/>
      <c r="J57" s="769"/>
      <c r="K57" s="769"/>
      <c r="L57" s="769"/>
      <c r="M57" s="769"/>
      <c r="N57" s="769"/>
      <c r="O57" s="769"/>
      <c r="P57" s="769"/>
      <c r="Q57" s="769"/>
      <c r="R57" s="769"/>
      <c r="S57" s="769"/>
    </row>
    <row r="58" spans="1:27" ht="14.25" x14ac:dyDescent="0.3">
      <c r="B58" s="773" t="s">
        <v>17</v>
      </c>
      <c r="C58" s="774" t="s">
        <v>1424</v>
      </c>
      <c r="D58" s="1846">
        <f>D4</f>
        <v>2026</v>
      </c>
      <c r="E58" s="1846">
        <f t="shared" ref="E58" si="21">D58+1</f>
        <v>2027</v>
      </c>
      <c r="F58" s="1846">
        <f t="shared" ref="F58" si="22">E58+1</f>
        <v>2028</v>
      </c>
      <c r="G58" s="1846">
        <f t="shared" ref="G58" si="23">F58+1</f>
        <v>2029</v>
      </c>
      <c r="H58" s="1846">
        <f t="shared" ref="H58" si="24">G58+1</f>
        <v>2030</v>
      </c>
      <c r="I58" s="1846">
        <f t="shared" ref="I58" si="25">H58+1</f>
        <v>2031</v>
      </c>
      <c r="J58" s="1846">
        <f t="shared" ref="J58" si="26">I58+1</f>
        <v>2032</v>
      </c>
      <c r="K58" s="1846">
        <f t="shared" ref="K58" si="27">J58+1</f>
        <v>2033</v>
      </c>
      <c r="L58" s="1846">
        <f t="shared" ref="L58" si="28">K58+1</f>
        <v>2034</v>
      </c>
      <c r="M58" s="1846">
        <f t="shared" ref="M58" si="29">L58+1</f>
        <v>2035</v>
      </c>
      <c r="N58" s="1846">
        <f t="shared" ref="N58" si="30">M58+1</f>
        <v>2036</v>
      </c>
      <c r="O58" s="1846">
        <f t="shared" ref="O58" si="31">N58+1</f>
        <v>2037</v>
      </c>
      <c r="P58" s="1846">
        <f t="shared" ref="P58" si="32">O58+1</f>
        <v>2038</v>
      </c>
      <c r="Q58" s="1846">
        <f t="shared" ref="Q58" si="33">P58+1</f>
        <v>2039</v>
      </c>
      <c r="R58" s="1852">
        <f t="shared" ref="R58" si="34">Q58+1</f>
        <v>2040</v>
      </c>
      <c r="S58" s="770"/>
      <c r="T58" s="228"/>
      <c r="U58" s="228"/>
      <c r="V58" s="228"/>
      <c r="W58" s="228"/>
      <c r="X58" s="228"/>
      <c r="Y58" s="228"/>
      <c r="Z58" s="228"/>
      <c r="AA58" s="228"/>
    </row>
    <row r="59" spans="1:27" ht="15" thickBot="1" x14ac:dyDescent="0.35">
      <c r="B59" s="775" t="s">
        <v>4</v>
      </c>
      <c r="C59" s="776" t="s">
        <v>1412</v>
      </c>
      <c r="D59" s="1847"/>
      <c r="E59" s="1847"/>
      <c r="F59" s="1847"/>
      <c r="G59" s="1847"/>
      <c r="H59" s="1847"/>
      <c r="I59" s="1847"/>
      <c r="J59" s="1847"/>
      <c r="K59" s="1847"/>
      <c r="L59" s="1847"/>
      <c r="M59" s="1847"/>
      <c r="N59" s="1847"/>
      <c r="O59" s="1847"/>
      <c r="P59" s="1847"/>
      <c r="Q59" s="1847"/>
      <c r="R59" s="1853"/>
      <c r="S59" s="770"/>
      <c r="T59" s="228"/>
      <c r="U59" s="228"/>
      <c r="V59" s="228"/>
      <c r="W59" s="228"/>
      <c r="X59" s="228"/>
      <c r="Y59" s="228"/>
      <c r="Z59" s="228"/>
      <c r="AA59" s="228"/>
    </row>
    <row r="60" spans="1:27" ht="14.25" x14ac:dyDescent="0.3">
      <c r="A60" s="472"/>
      <c r="B60" s="136"/>
      <c r="C60" s="136" t="s">
        <v>1427</v>
      </c>
      <c r="D60" s="235"/>
      <c r="E60" s="235"/>
      <c r="F60" s="235"/>
      <c r="G60" s="235"/>
      <c r="H60" s="235"/>
      <c r="I60" s="235"/>
      <c r="J60" s="235"/>
      <c r="K60" s="235"/>
      <c r="L60" s="235"/>
      <c r="M60" s="235"/>
      <c r="N60" s="235"/>
      <c r="O60" s="235"/>
      <c r="P60" s="235"/>
      <c r="Q60" s="235"/>
      <c r="R60" s="235"/>
      <c r="S60" s="777"/>
      <c r="T60" s="228"/>
      <c r="U60" s="228"/>
      <c r="V60" s="228"/>
      <c r="W60" s="228"/>
      <c r="X60" s="228"/>
      <c r="Y60" s="228"/>
      <c r="Z60" s="228"/>
      <c r="AA60" s="228"/>
    </row>
    <row r="61" spans="1:27" ht="14.25" x14ac:dyDescent="0.3">
      <c r="A61" s="472"/>
      <c r="B61" s="136"/>
      <c r="C61" s="136" t="s">
        <v>1426</v>
      </c>
      <c r="D61" s="235"/>
      <c r="E61" s="235"/>
      <c r="F61" s="235"/>
      <c r="G61" s="235"/>
      <c r="H61" s="235"/>
      <c r="I61" s="235"/>
      <c r="J61" s="235"/>
      <c r="K61" s="235"/>
      <c r="L61" s="235"/>
      <c r="M61" s="235"/>
      <c r="N61" s="235"/>
      <c r="O61" s="235"/>
      <c r="P61" s="235"/>
      <c r="Q61" s="235"/>
      <c r="R61" s="235"/>
      <c r="S61" s="777"/>
      <c r="T61" s="228"/>
      <c r="U61" s="228"/>
      <c r="V61" s="228"/>
      <c r="W61" s="228"/>
      <c r="X61" s="228"/>
      <c r="Y61" s="228"/>
      <c r="Z61" s="228"/>
      <c r="AA61" s="228"/>
    </row>
    <row r="62" spans="1:27" ht="14.25" x14ac:dyDescent="0.3">
      <c r="A62" s="472"/>
      <c r="B62" s="136"/>
      <c r="C62" s="136" t="s">
        <v>1527</v>
      </c>
      <c r="D62" s="235"/>
      <c r="E62" s="235"/>
      <c r="F62" s="235"/>
      <c r="G62" s="235"/>
      <c r="H62" s="235"/>
      <c r="I62" s="235"/>
      <c r="J62" s="235"/>
      <c r="K62" s="235"/>
      <c r="L62" s="235"/>
      <c r="M62" s="235"/>
      <c r="N62" s="235"/>
      <c r="O62" s="235"/>
      <c r="P62" s="235"/>
      <c r="Q62" s="235"/>
      <c r="R62" s="235"/>
      <c r="S62" s="777"/>
      <c r="T62" s="228"/>
      <c r="U62" s="228"/>
      <c r="V62" s="228"/>
      <c r="W62" s="228"/>
      <c r="X62" s="228"/>
      <c r="Y62" s="228"/>
      <c r="Z62" s="228"/>
      <c r="AA62" s="228"/>
    </row>
    <row r="63" spans="1:27" ht="14.25" x14ac:dyDescent="0.3">
      <c r="A63" s="472"/>
      <c r="B63" s="136"/>
      <c r="C63" s="136" t="s">
        <v>1528</v>
      </c>
      <c r="D63" s="235"/>
      <c r="E63" s="235"/>
      <c r="F63" s="235"/>
      <c r="G63" s="235"/>
      <c r="H63" s="235"/>
      <c r="I63" s="235"/>
      <c r="J63" s="235"/>
      <c r="K63" s="235"/>
      <c r="L63" s="235"/>
      <c r="M63" s="235"/>
      <c r="N63" s="235"/>
      <c r="O63" s="235"/>
      <c r="P63" s="235"/>
      <c r="Q63" s="235"/>
      <c r="R63" s="235"/>
      <c r="S63" s="777"/>
      <c r="T63" s="228"/>
      <c r="U63" s="228"/>
      <c r="V63" s="228"/>
      <c r="W63" s="228"/>
      <c r="X63" s="228"/>
      <c r="Y63" s="228"/>
      <c r="Z63" s="228"/>
      <c r="AA63" s="228"/>
    </row>
    <row r="64" spans="1:27" ht="14.25" x14ac:dyDescent="0.3">
      <c r="A64" s="472"/>
      <c r="B64" s="136"/>
      <c r="C64" s="136" t="s">
        <v>1529</v>
      </c>
      <c r="D64" s="235"/>
      <c r="E64" s="235"/>
      <c r="F64" s="235"/>
      <c r="G64" s="235"/>
      <c r="H64" s="235"/>
      <c r="I64" s="235"/>
      <c r="J64" s="235"/>
      <c r="K64" s="235"/>
      <c r="L64" s="235"/>
      <c r="M64" s="235"/>
      <c r="N64" s="235"/>
      <c r="O64" s="235"/>
      <c r="P64" s="235"/>
      <c r="Q64" s="235"/>
      <c r="R64" s="235"/>
      <c r="S64" s="777"/>
      <c r="T64" s="228"/>
      <c r="U64" s="228"/>
      <c r="V64" s="228"/>
      <c r="W64" s="228"/>
      <c r="X64" s="228"/>
      <c r="Y64" s="228"/>
      <c r="Z64" s="228"/>
      <c r="AA64" s="228"/>
    </row>
    <row r="65" spans="1:36" ht="15" thickBot="1" x14ac:dyDescent="0.35">
      <c r="B65" s="778"/>
      <c r="C65" s="779" t="s">
        <v>1415</v>
      </c>
      <c r="D65" s="780">
        <f t="shared" ref="D65:R65" si="35">SUM(D60:D64)</f>
        <v>0</v>
      </c>
      <c r="E65" s="781">
        <f t="shared" si="35"/>
        <v>0</v>
      </c>
      <c r="F65" s="781">
        <f t="shared" si="35"/>
        <v>0</v>
      </c>
      <c r="G65" s="781">
        <f t="shared" si="35"/>
        <v>0</v>
      </c>
      <c r="H65" s="781">
        <f t="shared" si="35"/>
        <v>0</v>
      </c>
      <c r="I65" s="781">
        <f t="shared" si="35"/>
        <v>0</v>
      </c>
      <c r="J65" s="781">
        <f t="shared" si="35"/>
        <v>0</v>
      </c>
      <c r="K65" s="781">
        <f t="shared" si="35"/>
        <v>0</v>
      </c>
      <c r="L65" s="781">
        <f t="shared" si="35"/>
        <v>0</v>
      </c>
      <c r="M65" s="781">
        <f t="shared" si="35"/>
        <v>0</v>
      </c>
      <c r="N65" s="781">
        <f t="shared" si="35"/>
        <v>0</v>
      </c>
      <c r="O65" s="781">
        <f t="shared" si="35"/>
        <v>0</v>
      </c>
      <c r="P65" s="781">
        <f t="shared" si="35"/>
        <v>0</v>
      </c>
      <c r="Q65" s="781">
        <f t="shared" si="35"/>
        <v>0</v>
      </c>
      <c r="R65" s="782">
        <f t="shared" si="35"/>
        <v>0</v>
      </c>
      <c r="S65" s="769"/>
    </row>
    <row r="66" spans="1:36" ht="14.25" thickBot="1" x14ac:dyDescent="0.35">
      <c r="B66" s="783"/>
      <c r="C66" s="769"/>
      <c r="D66" s="770"/>
      <c r="E66" s="770"/>
      <c r="F66" s="770"/>
      <c r="G66" s="770"/>
      <c r="H66" s="770"/>
      <c r="I66" s="770"/>
      <c r="J66" s="770"/>
      <c r="K66" s="770"/>
      <c r="L66" s="770"/>
      <c r="M66" s="770"/>
      <c r="N66" s="770"/>
      <c r="O66" s="770"/>
      <c r="P66" s="770"/>
      <c r="Q66" s="770"/>
      <c r="R66" s="770"/>
      <c r="S66" s="769"/>
    </row>
    <row r="67" spans="1:36" ht="14.25" x14ac:dyDescent="0.3">
      <c r="B67" s="773" t="str">
        <f>B58</f>
        <v>3.5.</v>
      </c>
      <c r="C67" s="784" t="str">
        <f>C58</f>
        <v xml:space="preserve">Přepravní výkony (tis. osobokm) </v>
      </c>
      <c r="D67" s="1854">
        <f>R58+1</f>
        <v>2041</v>
      </c>
      <c r="E67" s="1846">
        <f t="shared" ref="E67" si="36">D67+1</f>
        <v>2042</v>
      </c>
      <c r="F67" s="1846">
        <f t="shared" ref="F67" si="37">E67+1</f>
        <v>2043</v>
      </c>
      <c r="G67" s="1846">
        <f t="shared" ref="G67" si="38">F67+1</f>
        <v>2044</v>
      </c>
      <c r="H67" s="1846">
        <f t="shared" ref="H67" si="39">G67+1</f>
        <v>2045</v>
      </c>
      <c r="I67" s="1846">
        <f t="shared" ref="I67" si="40">H67+1</f>
        <v>2046</v>
      </c>
      <c r="J67" s="1846">
        <f t="shared" ref="J67" si="41">I67+1</f>
        <v>2047</v>
      </c>
      <c r="K67" s="1846">
        <f t="shared" ref="K67" si="42">J67+1</f>
        <v>2048</v>
      </c>
      <c r="L67" s="1846">
        <f t="shared" ref="L67" si="43">K67+1</f>
        <v>2049</v>
      </c>
      <c r="M67" s="1846">
        <f t="shared" ref="M67" si="44">L67+1</f>
        <v>2050</v>
      </c>
      <c r="N67" s="1846">
        <f t="shared" ref="N67" si="45">M67+1</f>
        <v>2051</v>
      </c>
      <c r="O67" s="1846">
        <f t="shared" ref="O67" si="46">N67+1</f>
        <v>2052</v>
      </c>
      <c r="P67" s="1846">
        <f t="shared" ref="P67" si="47">O67+1</f>
        <v>2053</v>
      </c>
      <c r="Q67" s="1846">
        <f t="shared" ref="Q67" si="48">P67+1</f>
        <v>2054</v>
      </c>
      <c r="R67" s="1852">
        <f t="shared" ref="R67" si="49">Q67+1</f>
        <v>2055</v>
      </c>
      <c r="S67" s="769"/>
    </row>
    <row r="68" spans="1:36" ht="15" thickBot="1" x14ac:dyDescent="0.35">
      <c r="B68" s="775" t="s">
        <v>5</v>
      </c>
      <c r="C68" s="785" t="str">
        <f>C59</f>
        <v xml:space="preserve">Scénář s projektem </v>
      </c>
      <c r="D68" s="1855"/>
      <c r="E68" s="1847"/>
      <c r="F68" s="1847"/>
      <c r="G68" s="1847"/>
      <c r="H68" s="1847"/>
      <c r="I68" s="1847"/>
      <c r="J68" s="1847"/>
      <c r="K68" s="1847"/>
      <c r="L68" s="1847"/>
      <c r="M68" s="1847"/>
      <c r="N68" s="1847"/>
      <c r="O68" s="1847"/>
      <c r="P68" s="1847"/>
      <c r="Q68" s="1847"/>
      <c r="R68" s="1853"/>
      <c r="S68" s="769"/>
    </row>
    <row r="69" spans="1:36" ht="14.25" x14ac:dyDescent="0.3">
      <c r="B69" s="135"/>
      <c r="C69" s="136" t="str">
        <f>C60</f>
        <v>tis. osobokm, BUS</v>
      </c>
      <c r="D69" s="235"/>
      <c r="E69" s="235"/>
      <c r="F69" s="235"/>
      <c r="G69" s="235"/>
      <c r="H69" s="235"/>
      <c r="I69" s="235"/>
      <c r="J69" s="235"/>
      <c r="K69" s="235"/>
      <c r="L69" s="235"/>
      <c r="M69" s="235"/>
      <c r="N69" s="235"/>
      <c r="O69" s="235"/>
      <c r="P69" s="235"/>
      <c r="Q69" s="235"/>
      <c r="R69" s="235"/>
      <c r="S69" s="786"/>
    </row>
    <row r="70" spans="1:36" ht="14.25" x14ac:dyDescent="0.3">
      <c r="B70" s="135"/>
      <c r="C70" s="136" t="str">
        <f t="shared" ref="C70:C73" si="50">C61</f>
        <v>tis. osobokm, trolejbus</v>
      </c>
      <c r="D70" s="235"/>
      <c r="E70" s="235"/>
      <c r="F70" s="235"/>
      <c r="G70" s="235"/>
      <c r="H70" s="235"/>
      <c r="I70" s="235"/>
      <c r="J70" s="235"/>
      <c r="K70" s="235"/>
      <c r="L70" s="235"/>
      <c r="M70" s="235"/>
      <c r="N70" s="235"/>
      <c r="O70" s="235"/>
      <c r="P70" s="235"/>
      <c r="Q70" s="235"/>
      <c r="R70" s="235"/>
      <c r="S70" s="786"/>
    </row>
    <row r="71" spans="1:36" ht="14.25" x14ac:dyDescent="0.3">
      <c r="B71" s="135"/>
      <c r="C71" s="136" t="str">
        <f t="shared" si="50"/>
        <v>tis. osobokm, tramvaj</v>
      </c>
      <c r="D71" s="235"/>
      <c r="E71" s="235"/>
      <c r="F71" s="235"/>
      <c r="G71" s="235"/>
      <c r="H71" s="235"/>
      <c r="I71" s="235"/>
      <c r="J71" s="235"/>
      <c r="K71" s="235"/>
      <c r="L71" s="235"/>
      <c r="M71" s="235"/>
      <c r="N71" s="235"/>
      <c r="O71" s="235"/>
      <c r="P71" s="235"/>
      <c r="Q71" s="235"/>
      <c r="R71" s="235"/>
      <c r="S71" s="786"/>
    </row>
    <row r="72" spans="1:36" ht="14.25" x14ac:dyDescent="0.3">
      <c r="B72" s="135"/>
      <c r="C72" s="136" t="str">
        <f t="shared" si="50"/>
        <v>tis. osobokm, metro</v>
      </c>
      <c r="D72" s="235"/>
      <c r="E72" s="235"/>
      <c r="F72" s="235"/>
      <c r="G72" s="235"/>
      <c r="H72" s="235"/>
      <c r="I72" s="235"/>
      <c r="J72" s="235"/>
      <c r="K72" s="235"/>
      <c r="L72" s="235"/>
      <c r="M72" s="235"/>
      <c r="N72" s="235"/>
      <c r="O72" s="235"/>
      <c r="P72" s="235"/>
      <c r="Q72" s="235"/>
      <c r="R72" s="235"/>
      <c r="S72" s="786"/>
    </row>
    <row r="73" spans="1:36" ht="14.25" x14ac:dyDescent="0.3">
      <c r="B73" s="135"/>
      <c r="C73" s="136" t="str">
        <f t="shared" si="50"/>
        <v>tis. osobokm, IAD ovlivněná projektem</v>
      </c>
      <c r="D73" s="235"/>
      <c r="E73" s="235"/>
      <c r="F73" s="235"/>
      <c r="G73" s="235"/>
      <c r="H73" s="235"/>
      <c r="I73" s="235"/>
      <c r="J73" s="235"/>
      <c r="K73" s="235"/>
      <c r="L73" s="235"/>
      <c r="M73" s="235"/>
      <c r="N73" s="235"/>
      <c r="O73" s="235"/>
      <c r="P73" s="235"/>
      <c r="Q73" s="235"/>
      <c r="R73" s="235"/>
      <c r="S73" s="786"/>
    </row>
    <row r="74" spans="1:36" ht="15" thickBot="1" x14ac:dyDescent="0.35">
      <c r="B74" s="778"/>
      <c r="C74" s="779" t="str">
        <f>C65</f>
        <v xml:space="preserve">Celkem </v>
      </c>
      <c r="D74" s="780">
        <f t="shared" ref="D74" si="51">SUM(D69:D73)</f>
        <v>0</v>
      </c>
      <c r="E74" s="781">
        <f t="shared" ref="E74" si="52">SUM(E69:E73)</f>
        <v>0</v>
      </c>
      <c r="F74" s="781">
        <f t="shared" ref="F74" si="53">SUM(F69:F73)</f>
        <v>0</v>
      </c>
      <c r="G74" s="781">
        <f t="shared" ref="G74" si="54">SUM(G69:G73)</f>
        <v>0</v>
      </c>
      <c r="H74" s="781">
        <f t="shared" ref="H74" si="55">SUM(H69:H73)</f>
        <v>0</v>
      </c>
      <c r="I74" s="781">
        <f t="shared" ref="I74" si="56">SUM(I69:I73)</f>
        <v>0</v>
      </c>
      <c r="J74" s="781">
        <f t="shared" ref="J74" si="57">SUM(J69:J73)</f>
        <v>0</v>
      </c>
      <c r="K74" s="781">
        <f t="shared" ref="K74" si="58">SUM(K69:K73)</f>
        <v>0</v>
      </c>
      <c r="L74" s="781">
        <f t="shared" ref="L74" si="59">SUM(L69:L73)</f>
        <v>0</v>
      </c>
      <c r="M74" s="781">
        <f t="shared" ref="M74" si="60">SUM(M69:M73)</f>
        <v>0</v>
      </c>
      <c r="N74" s="781">
        <f t="shared" ref="N74" si="61">SUM(N69:N73)</f>
        <v>0</v>
      </c>
      <c r="O74" s="781">
        <f t="shared" ref="O74" si="62">SUM(O69:O73)</f>
        <v>0</v>
      </c>
      <c r="P74" s="781">
        <f t="shared" ref="P74" si="63">SUM(P69:P73)</f>
        <v>0</v>
      </c>
      <c r="Q74" s="781">
        <f t="shared" ref="Q74" si="64">SUM(Q69:Q73)</f>
        <v>0</v>
      </c>
      <c r="R74" s="782">
        <f t="shared" ref="R74" si="65">SUM(R69:R73)</f>
        <v>0</v>
      </c>
      <c r="S74" s="769"/>
    </row>
    <row r="75" spans="1:36" ht="14.25" thickBot="1" x14ac:dyDescent="0.35">
      <c r="B75" s="787"/>
      <c r="C75" s="788"/>
      <c r="D75" s="789"/>
      <c r="E75" s="789"/>
      <c r="F75" s="789"/>
      <c r="G75" s="789"/>
      <c r="H75" s="789"/>
      <c r="I75" s="789"/>
      <c r="J75" s="789"/>
      <c r="K75" s="789"/>
      <c r="L75" s="789"/>
      <c r="M75" s="789"/>
      <c r="N75" s="789"/>
      <c r="O75" s="789"/>
      <c r="P75" s="789"/>
      <c r="Q75" s="789"/>
      <c r="R75" s="789"/>
      <c r="S75" s="769"/>
    </row>
    <row r="76" spans="1:36" ht="14.25" x14ac:dyDescent="0.3">
      <c r="B76" s="790" t="s">
        <v>18</v>
      </c>
      <c r="C76" s="791" t="str">
        <f>C58</f>
        <v xml:space="preserve">Přepravní výkony (tis. osobokm) </v>
      </c>
      <c r="D76" s="1848">
        <f>D58</f>
        <v>2026</v>
      </c>
      <c r="E76" s="1848">
        <f t="shared" ref="E76" si="66">D76+1</f>
        <v>2027</v>
      </c>
      <c r="F76" s="1848">
        <f t="shared" ref="F76" si="67">E76+1</f>
        <v>2028</v>
      </c>
      <c r="G76" s="1848">
        <f t="shared" ref="G76" si="68">F76+1</f>
        <v>2029</v>
      </c>
      <c r="H76" s="1848">
        <f t="shared" ref="H76" si="69">G76+1</f>
        <v>2030</v>
      </c>
      <c r="I76" s="1848">
        <f t="shared" ref="I76" si="70">H76+1</f>
        <v>2031</v>
      </c>
      <c r="J76" s="1848">
        <f t="shared" ref="J76" si="71">I76+1</f>
        <v>2032</v>
      </c>
      <c r="K76" s="1848">
        <f t="shared" ref="K76" si="72">J76+1</f>
        <v>2033</v>
      </c>
      <c r="L76" s="1848">
        <f t="shared" ref="L76" si="73">K76+1</f>
        <v>2034</v>
      </c>
      <c r="M76" s="1848">
        <f t="shared" ref="M76" si="74">L76+1</f>
        <v>2035</v>
      </c>
      <c r="N76" s="1848">
        <f t="shared" ref="N76" si="75">M76+1</f>
        <v>2036</v>
      </c>
      <c r="O76" s="1848">
        <f t="shared" ref="O76" si="76">N76+1</f>
        <v>2037</v>
      </c>
      <c r="P76" s="1848">
        <f t="shared" ref="P76" si="77">O76+1</f>
        <v>2038</v>
      </c>
      <c r="Q76" s="1848">
        <f t="shared" ref="Q76" si="78">P76+1</f>
        <v>2039</v>
      </c>
      <c r="R76" s="1856">
        <f t="shared" ref="R76" si="79">Q76+1</f>
        <v>2040</v>
      </c>
      <c r="S76" s="769"/>
    </row>
    <row r="77" spans="1:36" ht="13.5" customHeight="1" thickBot="1" x14ac:dyDescent="0.35">
      <c r="B77" s="792" t="s">
        <v>4</v>
      </c>
      <c r="C77" s="793" t="s">
        <v>1413</v>
      </c>
      <c r="D77" s="1849"/>
      <c r="E77" s="1849"/>
      <c r="F77" s="1849"/>
      <c r="G77" s="1849"/>
      <c r="H77" s="1849"/>
      <c r="I77" s="1849"/>
      <c r="J77" s="1849"/>
      <c r="K77" s="1849"/>
      <c r="L77" s="1849"/>
      <c r="M77" s="1849"/>
      <c r="N77" s="1849"/>
      <c r="O77" s="1849"/>
      <c r="P77" s="1849"/>
      <c r="Q77" s="1849"/>
      <c r="R77" s="1857"/>
      <c r="S77" s="794"/>
    </row>
    <row r="78" spans="1:36" ht="13.15" customHeight="1" x14ac:dyDescent="0.3">
      <c r="A78" s="472"/>
      <c r="B78" s="795"/>
      <c r="C78" s="796" t="str">
        <f>C60</f>
        <v>tis. osobokm, BUS</v>
      </c>
      <c r="D78" s="235"/>
      <c r="E78" s="235"/>
      <c r="F78" s="235"/>
      <c r="G78" s="235"/>
      <c r="H78" s="235"/>
      <c r="I78" s="235"/>
      <c r="J78" s="235"/>
      <c r="K78" s="235"/>
      <c r="L78" s="235"/>
      <c r="M78" s="235"/>
      <c r="N78" s="235"/>
      <c r="O78" s="235"/>
      <c r="P78" s="235"/>
      <c r="Q78" s="235"/>
      <c r="R78" s="235"/>
      <c r="S78" s="797"/>
      <c r="T78" s="229"/>
      <c r="U78" s="229"/>
      <c r="V78" s="229"/>
      <c r="W78" s="229"/>
      <c r="X78" s="229"/>
      <c r="Y78" s="229"/>
      <c r="Z78" s="229"/>
      <c r="AC78" s="229"/>
      <c r="AD78" s="229"/>
      <c r="AE78" s="229"/>
      <c r="AF78" s="229"/>
      <c r="AG78" s="229"/>
      <c r="AH78" s="229"/>
      <c r="AI78" s="229"/>
      <c r="AJ78" s="229"/>
    </row>
    <row r="79" spans="1:36" ht="13.15" customHeight="1" x14ac:dyDescent="0.3">
      <c r="A79" s="472"/>
      <c r="B79" s="795"/>
      <c r="C79" s="796" t="str">
        <f t="shared" ref="C79:C82" si="80">C61</f>
        <v>tis. osobokm, trolejbus</v>
      </c>
      <c r="D79" s="235"/>
      <c r="E79" s="235"/>
      <c r="F79" s="235"/>
      <c r="G79" s="235"/>
      <c r="H79" s="235"/>
      <c r="I79" s="235"/>
      <c r="J79" s="235"/>
      <c r="K79" s="235"/>
      <c r="L79" s="235"/>
      <c r="M79" s="235"/>
      <c r="N79" s="235"/>
      <c r="O79" s="235"/>
      <c r="P79" s="235"/>
      <c r="Q79" s="235"/>
      <c r="R79" s="235"/>
      <c r="S79" s="797"/>
      <c r="T79" s="229"/>
      <c r="U79" s="229"/>
      <c r="V79" s="229"/>
      <c r="W79" s="229"/>
      <c r="X79" s="229"/>
      <c r="Y79" s="229"/>
      <c r="Z79" s="229"/>
      <c r="AC79" s="229"/>
      <c r="AD79" s="229"/>
      <c r="AE79" s="229"/>
      <c r="AF79" s="229"/>
      <c r="AG79" s="229"/>
      <c r="AH79" s="229"/>
      <c r="AI79" s="229"/>
      <c r="AJ79" s="229"/>
    </row>
    <row r="80" spans="1:36" ht="13.15" customHeight="1" x14ac:dyDescent="0.3">
      <c r="A80" s="472"/>
      <c r="B80" s="795"/>
      <c r="C80" s="796" t="str">
        <f t="shared" si="80"/>
        <v>tis. osobokm, tramvaj</v>
      </c>
      <c r="D80" s="235"/>
      <c r="E80" s="235"/>
      <c r="F80" s="235"/>
      <c r="G80" s="235"/>
      <c r="H80" s="235"/>
      <c r="I80" s="235"/>
      <c r="J80" s="235"/>
      <c r="K80" s="235"/>
      <c r="L80" s="235"/>
      <c r="M80" s="235"/>
      <c r="N80" s="235"/>
      <c r="O80" s="235"/>
      <c r="P80" s="235"/>
      <c r="Q80" s="235"/>
      <c r="R80" s="235"/>
      <c r="S80" s="797"/>
      <c r="T80" s="229"/>
      <c r="U80" s="229"/>
      <c r="V80" s="229"/>
      <c r="W80" s="229"/>
      <c r="X80" s="229"/>
      <c r="Y80" s="229"/>
      <c r="Z80" s="229"/>
      <c r="AC80" s="229"/>
      <c r="AD80" s="229"/>
      <c r="AE80" s="229"/>
      <c r="AF80" s="229"/>
      <c r="AG80" s="229"/>
      <c r="AH80" s="229"/>
      <c r="AI80" s="229"/>
      <c r="AJ80" s="229"/>
    </row>
    <row r="81" spans="1:36" ht="13.15" customHeight="1" x14ac:dyDescent="0.3">
      <c r="A81" s="472"/>
      <c r="B81" s="795"/>
      <c r="C81" s="796" t="str">
        <f t="shared" si="80"/>
        <v>tis. osobokm, metro</v>
      </c>
      <c r="D81" s="235"/>
      <c r="E81" s="235"/>
      <c r="F81" s="235"/>
      <c r="G81" s="235"/>
      <c r="H81" s="235"/>
      <c r="I81" s="235"/>
      <c r="J81" s="235"/>
      <c r="K81" s="235"/>
      <c r="L81" s="235"/>
      <c r="M81" s="235"/>
      <c r="N81" s="235"/>
      <c r="O81" s="235"/>
      <c r="P81" s="235"/>
      <c r="Q81" s="235"/>
      <c r="R81" s="235"/>
      <c r="S81" s="797"/>
      <c r="T81" s="229"/>
      <c r="U81" s="229"/>
      <c r="V81" s="229"/>
      <c r="W81" s="229"/>
      <c r="X81" s="229"/>
      <c r="Y81" s="229"/>
      <c r="Z81" s="229"/>
      <c r="AC81" s="229"/>
      <c r="AD81" s="229"/>
      <c r="AE81" s="229"/>
      <c r="AF81" s="229"/>
      <c r="AG81" s="229"/>
      <c r="AH81" s="229"/>
      <c r="AI81" s="229"/>
      <c r="AJ81" s="229"/>
    </row>
    <row r="82" spans="1:36" ht="13.15" customHeight="1" x14ac:dyDescent="0.3">
      <c r="A82" s="472"/>
      <c r="B82" s="795"/>
      <c r="C82" s="796" t="str">
        <f t="shared" si="80"/>
        <v>tis. osobokm, IAD ovlivněná projektem</v>
      </c>
      <c r="D82" s="235"/>
      <c r="E82" s="235"/>
      <c r="F82" s="235"/>
      <c r="G82" s="235"/>
      <c r="H82" s="235"/>
      <c r="I82" s="235"/>
      <c r="J82" s="235"/>
      <c r="K82" s="235"/>
      <c r="L82" s="235"/>
      <c r="M82" s="235"/>
      <c r="N82" s="235"/>
      <c r="O82" s="235"/>
      <c r="P82" s="235"/>
      <c r="Q82" s="235"/>
      <c r="R82" s="235"/>
      <c r="S82" s="797"/>
      <c r="T82" s="229"/>
      <c r="U82" s="229"/>
      <c r="V82" s="229"/>
      <c r="W82" s="229"/>
      <c r="X82" s="229"/>
      <c r="Y82" s="229"/>
      <c r="Z82" s="229"/>
      <c r="AC82" s="229"/>
      <c r="AD82" s="229"/>
      <c r="AE82" s="229"/>
      <c r="AF82" s="229"/>
      <c r="AG82" s="229"/>
      <c r="AH82" s="229"/>
      <c r="AI82" s="229"/>
      <c r="AJ82" s="229"/>
    </row>
    <row r="83" spans="1:36" ht="13.9" customHeight="1" thickBot="1" x14ac:dyDescent="0.35">
      <c r="B83" s="798"/>
      <c r="C83" s="799" t="s">
        <v>60</v>
      </c>
      <c r="D83" s="800">
        <f t="shared" ref="D83:R83" si="81">SUM(D78:D82)</f>
        <v>0</v>
      </c>
      <c r="E83" s="801">
        <f t="shared" si="81"/>
        <v>0</v>
      </c>
      <c r="F83" s="801">
        <f t="shared" si="81"/>
        <v>0</v>
      </c>
      <c r="G83" s="801">
        <f t="shared" si="81"/>
        <v>0</v>
      </c>
      <c r="H83" s="801">
        <f t="shared" si="81"/>
        <v>0</v>
      </c>
      <c r="I83" s="801">
        <f t="shared" si="81"/>
        <v>0</v>
      </c>
      <c r="J83" s="801">
        <f t="shared" si="81"/>
        <v>0</v>
      </c>
      <c r="K83" s="801">
        <f t="shared" si="81"/>
        <v>0</v>
      </c>
      <c r="L83" s="801">
        <f t="shared" si="81"/>
        <v>0</v>
      </c>
      <c r="M83" s="801">
        <f t="shared" si="81"/>
        <v>0</v>
      </c>
      <c r="N83" s="801">
        <f t="shared" si="81"/>
        <v>0</v>
      </c>
      <c r="O83" s="801">
        <f t="shared" si="81"/>
        <v>0</v>
      </c>
      <c r="P83" s="801">
        <f t="shared" si="81"/>
        <v>0</v>
      </c>
      <c r="Q83" s="801">
        <f t="shared" si="81"/>
        <v>0</v>
      </c>
      <c r="R83" s="802">
        <f t="shared" si="81"/>
        <v>0</v>
      </c>
      <c r="S83" s="770"/>
      <c r="T83" s="228"/>
      <c r="U83" s="228"/>
      <c r="V83" s="228"/>
      <c r="W83" s="228"/>
      <c r="X83" s="228"/>
      <c r="Y83" s="228"/>
      <c r="Z83" s="228"/>
      <c r="AC83" s="228"/>
      <c r="AD83" s="228"/>
      <c r="AE83" s="228"/>
      <c r="AF83" s="228"/>
      <c r="AG83" s="228"/>
      <c r="AH83" s="228"/>
      <c r="AI83" s="228"/>
      <c r="AJ83" s="228"/>
    </row>
    <row r="84" spans="1:36" ht="13.9" customHeight="1" thickBot="1" x14ac:dyDescent="0.35">
      <c r="B84" s="783"/>
      <c r="C84" s="769"/>
      <c r="D84" s="770"/>
      <c r="E84" s="770"/>
      <c r="F84" s="770"/>
      <c r="G84" s="770"/>
      <c r="H84" s="770"/>
      <c r="I84" s="770"/>
      <c r="J84" s="770"/>
      <c r="K84" s="770"/>
      <c r="L84" s="770"/>
      <c r="M84" s="770"/>
      <c r="N84" s="770"/>
      <c r="O84" s="770"/>
      <c r="P84" s="770"/>
      <c r="Q84" s="770"/>
      <c r="R84" s="770"/>
      <c r="S84" s="770"/>
      <c r="T84" s="228"/>
      <c r="U84" s="228"/>
      <c r="V84" s="228"/>
      <c r="W84" s="228"/>
      <c r="X84" s="228"/>
      <c r="Y84" s="228"/>
      <c r="Z84" s="228"/>
      <c r="AC84" s="228"/>
      <c r="AD84" s="228"/>
      <c r="AE84" s="228"/>
      <c r="AF84" s="228"/>
      <c r="AG84" s="228"/>
      <c r="AH84" s="228"/>
      <c r="AI84" s="228"/>
      <c r="AJ84" s="228"/>
    </row>
    <row r="85" spans="1:36" ht="13.15" customHeight="1" x14ac:dyDescent="0.3">
      <c r="B85" s="790" t="str">
        <f>B76</f>
        <v>3.6.</v>
      </c>
      <c r="C85" s="803" t="str">
        <f>C76</f>
        <v xml:space="preserve">Přepravní výkony (tis. osobokm) </v>
      </c>
      <c r="D85" s="1880">
        <f>R76+1</f>
        <v>2041</v>
      </c>
      <c r="E85" s="1848">
        <f t="shared" ref="E85" si="82">D85+1</f>
        <v>2042</v>
      </c>
      <c r="F85" s="1848">
        <f t="shared" ref="F85" si="83">E85+1</f>
        <v>2043</v>
      </c>
      <c r="G85" s="1848">
        <f t="shared" ref="G85" si="84">F85+1</f>
        <v>2044</v>
      </c>
      <c r="H85" s="1848">
        <f t="shared" ref="H85" si="85">G85+1</f>
        <v>2045</v>
      </c>
      <c r="I85" s="1848">
        <f t="shared" ref="I85" si="86">H85+1</f>
        <v>2046</v>
      </c>
      <c r="J85" s="1848">
        <f t="shared" ref="J85" si="87">I85+1</f>
        <v>2047</v>
      </c>
      <c r="K85" s="1848">
        <f t="shared" ref="K85" si="88">J85+1</f>
        <v>2048</v>
      </c>
      <c r="L85" s="1848">
        <f t="shared" ref="L85" si="89">K85+1</f>
        <v>2049</v>
      </c>
      <c r="M85" s="1848">
        <f t="shared" ref="M85" si="90">L85+1</f>
        <v>2050</v>
      </c>
      <c r="N85" s="1848">
        <f t="shared" ref="N85" si="91">M85+1</f>
        <v>2051</v>
      </c>
      <c r="O85" s="1848">
        <f t="shared" ref="O85" si="92">N85+1</f>
        <v>2052</v>
      </c>
      <c r="P85" s="1848">
        <f t="shared" ref="P85" si="93">O85+1</f>
        <v>2053</v>
      </c>
      <c r="Q85" s="1848">
        <f t="shared" ref="Q85" si="94">P85+1</f>
        <v>2054</v>
      </c>
      <c r="R85" s="1856">
        <f t="shared" ref="R85" si="95">Q85+1</f>
        <v>2055</v>
      </c>
      <c r="S85" s="789"/>
      <c r="T85" s="230"/>
      <c r="U85" s="230"/>
      <c r="V85" s="230"/>
      <c r="W85" s="230"/>
      <c r="X85" s="230"/>
      <c r="Y85" s="230"/>
      <c r="Z85" s="230"/>
      <c r="AC85" s="228"/>
      <c r="AD85" s="228"/>
      <c r="AE85" s="228"/>
      <c r="AF85" s="228"/>
      <c r="AG85" s="228"/>
      <c r="AH85" s="228"/>
      <c r="AI85" s="228"/>
      <c r="AJ85" s="228"/>
    </row>
    <row r="86" spans="1:36" ht="13.9" customHeight="1" thickBot="1" x14ac:dyDescent="0.35">
      <c r="B86" s="792" t="s">
        <v>5</v>
      </c>
      <c r="C86" s="804" t="str">
        <f>C77</f>
        <v xml:space="preserve">Scénář bez projektu </v>
      </c>
      <c r="D86" s="1881">
        <f>R77+1</f>
        <v>1</v>
      </c>
      <c r="E86" s="1849"/>
      <c r="F86" s="1849"/>
      <c r="G86" s="1849"/>
      <c r="H86" s="1849"/>
      <c r="I86" s="1849"/>
      <c r="J86" s="1849"/>
      <c r="K86" s="1849"/>
      <c r="L86" s="1849"/>
      <c r="M86" s="1849"/>
      <c r="N86" s="1849"/>
      <c r="O86" s="1849"/>
      <c r="P86" s="1849"/>
      <c r="Q86" s="1849"/>
      <c r="R86" s="1857"/>
      <c r="S86" s="769"/>
      <c r="AC86" s="230"/>
      <c r="AD86" s="230"/>
      <c r="AE86" s="230"/>
      <c r="AF86" s="230"/>
      <c r="AG86" s="230"/>
      <c r="AH86" s="230"/>
      <c r="AI86" s="230"/>
      <c r="AJ86" s="230"/>
    </row>
    <row r="87" spans="1:36" ht="14.25" x14ac:dyDescent="0.3">
      <c r="B87" s="135"/>
      <c r="C87" s="136" t="str">
        <f>C78</f>
        <v>tis. osobokm, BUS</v>
      </c>
      <c r="D87" s="235"/>
      <c r="E87" s="235"/>
      <c r="F87" s="235"/>
      <c r="G87" s="235"/>
      <c r="H87" s="235"/>
      <c r="I87" s="235"/>
      <c r="J87" s="235"/>
      <c r="K87" s="235"/>
      <c r="L87" s="235"/>
      <c r="M87" s="235"/>
      <c r="N87" s="235"/>
      <c r="O87" s="235"/>
      <c r="P87" s="235"/>
      <c r="Q87" s="235"/>
      <c r="R87" s="235"/>
      <c r="S87" s="786"/>
    </row>
    <row r="88" spans="1:36" ht="14.25" x14ac:dyDescent="0.3">
      <c r="B88" s="135"/>
      <c r="C88" s="136" t="str">
        <f t="shared" ref="C88:C91" si="96">C79</f>
        <v>tis. osobokm, trolejbus</v>
      </c>
      <c r="D88" s="235"/>
      <c r="E88" s="235"/>
      <c r="F88" s="235"/>
      <c r="G88" s="235"/>
      <c r="H88" s="235"/>
      <c r="I88" s="235"/>
      <c r="J88" s="235"/>
      <c r="K88" s="235"/>
      <c r="L88" s="235"/>
      <c r="M88" s="235"/>
      <c r="N88" s="235"/>
      <c r="O88" s="235"/>
      <c r="P88" s="235"/>
      <c r="Q88" s="235"/>
      <c r="R88" s="235"/>
      <c r="S88" s="786"/>
    </row>
    <row r="89" spans="1:36" ht="14.25" x14ac:dyDescent="0.3">
      <c r="B89" s="135"/>
      <c r="C89" s="136" t="str">
        <f t="shared" si="96"/>
        <v>tis. osobokm, tramvaj</v>
      </c>
      <c r="D89" s="235"/>
      <c r="E89" s="235"/>
      <c r="F89" s="235"/>
      <c r="G89" s="235"/>
      <c r="H89" s="235"/>
      <c r="I89" s="235"/>
      <c r="J89" s="235"/>
      <c r="K89" s="235"/>
      <c r="L89" s="235"/>
      <c r="M89" s="235"/>
      <c r="N89" s="235"/>
      <c r="O89" s="235"/>
      <c r="P89" s="235"/>
      <c r="Q89" s="235"/>
      <c r="R89" s="235"/>
      <c r="S89" s="786"/>
    </row>
    <row r="90" spans="1:36" ht="14.25" x14ac:dyDescent="0.3">
      <c r="B90" s="135"/>
      <c r="C90" s="136" t="str">
        <f t="shared" si="96"/>
        <v>tis. osobokm, metro</v>
      </c>
      <c r="D90" s="235"/>
      <c r="E90" s="235"/>
      <c r="F90" s="235"/>
      <c r="G90" s="235"/>
      <c r="H90" s="235"/>
      <c r="I90" s="235"/>
      <c r="J90" s="235"/>
      <c r="K90" s="235"/>
      <c r="L90" s="235"/>
      <c r="M90" s="235"/>
      <c r="N90" s="235"/>
      <c r="O90" s="235"/>
      <c r="P90" s="235"/>
      <c r="Q90" s="235"/>
      <c r="R90" s="235"/>
      <c r="S90" s="786"/>
    </row>
    <row r="91" spans="1:36" ht="14.25" x14ac:dyDescent="0.3">
      <c r="B91" s="135"/>
      <c r="C91" s="136" t="str">
        <f t="shared" si="96"/>
        <v>tis. osobokm, IAD ovlivněná projektem</v>
      </c>
      <c r="D91" s="235"/>
      <c r="E91" s="235"/>
      <c r="F91" s="235"/>
      <c r="G91" s="235"/>
      <c r="H91" s="235"/>
      <c r="I91" s="235"/>
      <c r="J91" s="235"/>
      <c r="K91" s="235"/>
      <c r="L91" s="235"/>
      <c r="M91" s="235"/>
      <c r="N91" s="235"/>
      <c r="O91" s="235"/>
      <c r="P91" s="235"/>
      <c r="Q91" s="235"/>
      <c r="R91" s="235"/>
      <c r="S91" s="786"/>
    </row>
    <row r="92" spans="1:36" ht="13.9" customHeight="1" thickBot="1" x14ac:dyDescent="0.35">
      <c r="B92" s="805"/>
      <c r="C92" s="799" t="str">
        <f>C83</f>
        <v>Celkem</v>
      </c>
      <c r="D92" s="800">
        <f t="shared" ref="D92:R92" si="97">SUM(D87:D91)</f>
        <v>0</v>
      </c>
      <c r="E92" s="801">
        <f t="shared" si="97"/>
        <v>0</v>
      </c>
      <c r="F92" s="801">
        <f t="shared" si="97"/>
        <v>0</v>
      </c>
      <c r="G92" s="801">
        <f t="shared" si="97"/>
        <v>0</v>
      </c>
      <c r="H92" s="801">
        <f t="shared" si="97"/>
        <v>0</v>
      </c>
      <c r="I92" s="801">
        <f t="shared" si="97"/>
        <v>0</v>
      </c>
      <c r="J92" s="801">
        <f t="shared" si="97"/>
        <v>0</v>
      </c>
      <c r="K92" s="801">
        <f t="shared" si="97"/>
        <v>0</v>
      </c>
      <c r="L92" s="801">
        <f t="shared" si="97"/>
        <v>0</v>
      </c>
      <c r="M92" s="801">
        <f t="shared" si="97"/>
        <v>0</v>
      </c>
      <c r="N92" s="801">
        <f t="shared" si="97"/>
        <v>0</v>
      </c>
      <c r="O92" s="801">
        <f t="shared" si="97"/>
        <v>0</v>
      </c>
      <c r="P92" s="801">
        <f t="shared" si="97"/>
        <v>0</v>
      </c>
      <c r="Q92" s="801">
        <f t="shared" si="97"/>
        <v>0</v>
      </c>
      <c r="R92" s="802">
        <f t="shared" si="97"/>
        <v>0</v>
      </c>
      <c r="S92" s="769"/>
    </row>
    <row r="93" spans="1:36" ht="14.25" thickBot="1" x14ac:dyDescent="0.35">
      <c r="B93" s="769"/>
      <c r="C93" s="769"/>
      <c r="D93" s="769"/>
      <c r="E93" s="769"/>
      <c r="F93" s="769"/>
      <c r="G93" s="769"/>
      <c r="H93" s="769"/>
      <c r="I93" s="769"/>
      <c r="J93" s="769"/>
      <c r="K93" s="769"/>
      <c r="L93" s="769"/>
      <c r="M93" s="769"/>
      <c r="N93" s="769"/>
      <c r="O93" s="769"/>
      <c r="P93" s="769"/>
      <c r="Q93" s="769"/>
      <c r="R93" s="769"/>
      <c r="S93" s="769"/>
    </row>
    <row r="94" spans="1:36" s="12" customFormat="1" ht="12.75" customHeight="1" x14ac:dyDescent="0.3">
      <c r="B94" s="806" t="s">
        <v>19</v>
      </c>
      <c r="C94" s="807" t="s">
        <v>1425</v>
      </c>
      <c r="D94" s="1878">
        <f>D76</f>
        <v>2026</v>
      </c>
      <c r="E94" s="1850">
        <f t="shared" ref="E94" si="98">D94+1</f>
        <v>2027</v>
      </c>
      <c r="F94" s="1850">
        <f t="shared" ref="F94" si="99">E94+1</f>
        <v>2028</v>
      </c>
      <c r="G94" s="1850">
        <f t="shared" ref="G94" si="100">F94+1</f>
        <v>2029</v>
      </c>
      <c r="H94" s="1850">
        <f t="shared" ref="H94" si="101">G94+1</f>
        <v>2030</v>
      </c>
      <c r="I94" s="1850">
        <f t="shared" ref="I94" si="102">H94+1</f>
        <v>2031</v>
      </c>
      <c r="J94" s="1850">
        <f t="shared" ref="J94" si="103">I94+1</f>
        <v>2032</v>
      </c>
      <c r="K94" s="1850">
        <f t="shared" ref="K94" si="104">J94+1</f>
        <v>2033</v>
      </c>
      <c r="L94" s="1850">
        <f t="shared" ref="L94" si="105">K94+1</f>
        <v>2034</v>
      </c>
      <c r="M94" s="1850">
        <f t="shared" ref="M94" si="106">L94+1</f>
        <v>2035</v>
      </c>
      <c r="N94" s="1850">
        <f t="shared" ref="N94" si="107">M94+1</f>
        <v>2036</v>
      </c>
      <c r="O94" s="1850">
        <f t="shared" ref="O94" si="108">N94+1</f>
        <v>2037</v>
      </c>
      <c r="P94" s="1850">
        <f t="shared" ref="P94" si="109">O94+1</f>
        <v>2038</v>
      </c>
      <c r="Q94" s="1850">
        <f t="shared" ref="Q94" si="110">P94+1</f>
        <v>2039</v>
      </c>
      <c r="R94" s="1882">
        <f t="shared" ref="R94" si="111">Q94+1</f>
        <v>2040</v>
      </c>
      <c r="S94" s="17"/>
    </row>
    <row r="95" spans="1:36" s="12" customFormat="1" ht="12.75" customHeight="1" thickBot="1" x14ac:dyDescent="0.35">
      <c r="B95" s="808" t="s">
        <v>4</v>
      </c>
      <c r="C95" s="809"/>
      <c r="D95" s="1879"/>
      <c r="E95" s="1851"/>
      <c r="F95" s="1851"/>
      <c r="G95" s="1851"/>
      <c r="H95" s="1851"/>
      <c r="I95" s="1851"/>
      <c r="J95" s="1851"/>
      <c r="K95" s="1851"/>
      <c r="L95" s="1851"/>
      <c r="M95" s="1851"/>
      <c r="N95" s="1851"/>
      <c r="O95" s="1851"/>
      <c r="P95" s="1851"/>
      <c r="Q95" s="1851"/>
      <c r="R95" s="1883"/>
      <c r="S95" s="17"/>
    </row>
    <row r="96" spans="1:36" s="12" customFormat="1" ht="12.75" customHeight="1" x14ac:dyDescent="0.3">
      <c r="A96" s="108"/>
      <c r="B96" s="810"/>
      <c r="C96" s="811" t="str">
        <f>C87</f>
        <v>tis. osobokm, BUS</v>
      </c>
      <c r="D96" s="812">
        <f>D60-D78</f>
        <v>0</v>
      </c>
      <c r="E96" s="813">
        <f t="shared" ref="E96:R96" si="112">E60-E78</f>
        <v>0</v>
      </c>
      <c r="F96" s="813">
        <f t="shared" si="112"/>
        <v>0</v>
      </c>
      <c r="G96" s="813">
        <f t="shared" si="112"/>
        <v>0</v>
      </c>
      <c r="H96" s="813">
        <f t="shared" si="112"/>
        <v>0</v>
      </c>
      <c r="I96" s="813">
        <f t="shared" si="112"/>
        <v>0</v>
      </c>
      <c r="J96" s="813">
        <f t="shared" si="112"/>
        <v>0</v>
      </c>
      <c r="K96" s="813">
        <f t="shared" si="112"/>
        <v>0</v>
      </c>
      <c r="L96" s="813">
        <f t="shared" si="112"/>
        <v>0</v>
      </c>
      <c r="M96" s="813">
        <f t="shared" si="112"/>
        <v>0</v>
      </c>
      <c r="N96" s="813">
        <f t="shared" si="112"/>
        <v>0</v>
      </c>
      <c r="O96" s="813">
        <f t="shared" si="112"/>
        <v>0</v>
      </c>
      <c r="P96" s="813">
        <f t="shared" si="112"/>
        <v>0</v>
      </c>
      <c r="Q96" s="813">
        <f t="shared" si="112"/>
        <v>0</v>
      </c>
      <c r="R96" s="814">
        <f t="shared" si="112"/>
        <v>0</v>
      </c>
      <c r="S96" s="17"/>
    </row>
    <row r="97" spans="1:25" s="12" customFormat="1" ht="12.75" customHeight="1" x14ac:dyDescent="0.3">
      <c r="A97" s="108"/>
      <c r="B97" s="815"/>
      <c r="C97" s="816" t="str">
        <f t="shared" ref="C97:C100" si="113">C88</f>
        <v>tis. osobokm, trolejbus</v>
      </c>
      <c r="D97" s="817">
        <f t="shared" ref="D97:R97" si="114">D61-D79</f>
        <v>0</v>
      </c>
      <c r="E97" s="818">
        <f t="shared" si="114"/>
        <v>0</v>
      </c>
      <c r="F97" s="818">
        <f t="shared" si="114"/>
        <v>0</v>
      </c>
      <c r="G97" s="818">
        <f t="shared" si="114"/>
        <v>0</v>
      </c>
      <c r="H97" s="818">
        <f t="shared" si="114"/>
        <v>0</v>
      </c>
      <c r="I97" s="818">
        <f t="shared" si="114"/>
        <v>0</v>
      </c>
      <c r="J97" s="818">
        <f t="shared" si="114"/>
        <v>0</v>
      </c>
      <c r="K97" s="818">
        <f t="shared" si="114"/>
        <v>0</v>
      </c>
      <c r="L97" s="818">
        <f t="shared" si="114"/>
        <v>0</v>
      </c>
      <c r="M97" s="818">
        <f t="shared" si="114"/>
        <v>0</v>
      </c>
      <c r="N97" s="818">
        <f t="shared" si="114"/>
        <v>0</v>
      </c>
      <c r="O97" s="818">
        <f t="shared" si="114"/>
        <v>0</v>
      </c>
      <c r="P97" s="818">
        <f t="shared" si="114"/>
        <v>0</v>
      </c>
      <c r="Q97" s="818">
        <f t="shared" si="114"/>
        <v>0</v>
      </c>
      <c r="R97" s="819">
        <f t="shared" si="114"/>
        <v>0</v>
      </c>
      <c r="S97" s="17"/>
    </row>
    <row r="98" spans="1:25" s="12" customFormat="1" ht="12.75" customHeight="1" x14ac:dyDescent="0.3">
      <c r="A98" s="108"/>
      <c r="B98" s="815"/>
      <c r="C98" s="816" t="str">
        <f t="shared" si="113"/>
        <v>tis. osobokm, tramvaj</v>
      </c>
      <c r="D98" s="817">
        <f t="shared" ref="D98:R98" si="115">D62-D80</f>
        <v>0</v>
      </c>
      <c r="E98" s="818">
        <f t="shared" si="115"/>
        <v>0</v>
      </c>
      <c r="F98" s="818">
        <f t="shared" si="115"/>
        <v>0</v>
      </c>
      <c r="G98" s="818">
        <f t="shared" si="115"/>
        <v>0</v>
      </c>
      <c r="H98" s="818">
        <f t="shared" si="115"/>
        <v>0</v>
      </c>
      <c r="I98" s="818">
        <f t="shared" si="115"/>
        <v>0</v>
      </c>
      <c r="J98" s="818">
        <f t="shared" si="115"/>
        <v>0</v>
      </c>
      <c r="K98" s="818">
        <f t="shared" si="115"/>
        <v>0</v>
      </c>
      <c r="L98" s="818">
        <f t="shared" si="115"/>
        <v>0</v>
      </c>
      <c r="M98" s="818">
        <f t="shared" si="115"/>
        <v>0</v>
      </c>
      <c r="N98" s="818">
        <f t="shared" si="115"/>
        <v>0</v>
      </c>
      <c r="O98" s="818">
        <f t="shared" si="115"/>
        <v>0</v>
      </c>
      <c r="P98" s="818">
        <f t="shared" si="115"/>
        <v>0</v>
      </c>
      <c r="Q98" s="818">
        <f t="shared" si="115"/>
        <v>0</v>
      </c>
      <c r="R98" s="819">
        <f t="shared" si="115"/>
        <v>0</v>
      </c>
      <c r="S98" s="17"/>
    </row>
    <row r="99" spans="1:25" s="12" customFormat="1" ht="12.75" customHeight="1" x14ac:dyDescent="0.3">
      <c r="A99" s="108"/>
      <c r="B99" s="815"/>
      <c r="C99" s="816" t="str">
        <f t="shared" si="113"/>
        <v>tis. osobokm, metro</v>
      </c>
      <c r="D99" s="817">
        <f t="shared" ref="D99:R99" si="116">D63-D81</f>
        <v>0</v>
      </c>
      <c r="E99" s="818">
        <f t="shared" si="116"/>
        <v>0</v>
      </c>
      <c r="F99" s="818">
        <f t="shared" si="116"/>
        <v>0</v>
      </c>
      <c r="G99" s="818">
        <f t="shared" si="116"/>
        <v>0</v>
      </c>
      <c r="H99" s="818">
        <f t="shared" si="116"/>
        <v>0</v>
      </c>
      <c r="I99" s="818">
        <f t="shared" si="116"/>
        <v>0</v>
      </c>
      <c r="J99" s="818">
        <f t="shared" si="116"/>
        <v>0</v>
      </c>
      <c r="K99" s="818">
        <f t="shared" si="116"/>
        <v>0</v>
      </c>
      <c r="L99" s="818">
        <f t="shared" si="116"/>
        <v>0</v>
      </c>
      <c r="M99" s="818">
        <f t="shared" si="116"/>
        <v>0</v>
      </c>
      <c r="N99" s="818">
        <f t="shared" si="116"/>
        <v>0</v>
      </c>
      <c r="O99" s="818">
        <f t="shared" si="116"/>
        <v>0</v>
      </c>
      <c r="P99" s="818">
        <f t="shared" si="116"/>
        <v>0</v>
      </c>
      <c r="Q99" s="818">
        <f t="shared" si="116"/>
        <v>0</v>
      </c>
      <c r="R99" s="819">
        <f t="shared" si="116"/>
        <v>0</v>
      </c>
      <c r="S99" s="17"/>
    </row>
    <row r="100" spans="1:25" s="12" customFormat="1" ht="12.75" customHeight="1" x14ac:dyDescent="0.3">
      <c r="A100" s="108"/>
      <c r="B100" s="815"/>
      <c r="C100" s="816" t="str">
        <f t="shared" si="113"/>
        <v>tis. osobokm, IAD ovlivněná projektem</v>
      </c>
      <c r="D100" s="820">
        <f t="shared" ref="D100:R100" si="117">D64-D82</f>
        <v>0</v>
      </c>
      <c r="E100" s="821">
        <f t="shared" si="117"/>
        <v>0</v>
      </c>
      <c r="F100" s="821">
        <f t="shared" si="117"/>
        <v>0</v>
      </c>
      <c r="G100" s="821">
        <f t="shared" si="117"/>
        <v>0</v>
      </c>
      <c r="H100" s="821">
        <f t="shared" si="117"/>
        <v>0</v>
      </c>
      <c r="I100" s="821">
        <f t="shared" si="117"/>
        <v>0</v>
      </c>
      <c r="J100" s="821">
        <f t="shared" si="117"/>
        <v>0</v>
      </c>
      <c r="K100" s="821">
        <f t="shared" si="117"/>
        <v>0</v>
      </c>
      <c r="L100" s="821">
        <f t="shared" si="117"/>
        <v>0</v>
      </c>
      <c r="M100" s="821">
        <f t="shared" si="117"/>
        <v>0</v>
      </c>
      <c r="N100" s="821">
        <f t="shared" si="117"/>
        <v>0</v>
      </c>
      <c r="O100" s="821">
        <f t="shared" si="117"/>
        <v>0</v>
      </c>
      <c r="P100" s="821">
        <f t="shared" si="117"/>
        <v>0</v>
      </c>
      <c r="Q100" s="821">
        <f t="shared" si="117"/>
        <v>0</v>
      </c>
      <c r="R100" s="822">
        <f t="shared" si="117"/>
        <v>0</v>
      </c>
      <c r="S100" s="17"/>
    </row>
    <row r="101" spans="1:25" s="12" customFormat="1" ht="15" thickBot="1" x14ac:dyDescent="0.35">
      <c r="B101" s="823"/>
      <c r="C101" s="824" t="s">
        <v>1415</v>
      </c>
      <c r="D101" s="825">
        <f>SUM(D96:D100)</f>
        <v>0</v>
      </c>
      <c r="E101" s="825">
        <f t="shared" ref="E101" si="118">SUM(E96:E100)</f>
        <v>0</v>
      </c>
      <c r="F101" s="825">
        <f t="shared" ref="F101" si="119">SUM(F96:F100)</f>
        <v>0</v>
      </c>
      <c r="G101" s="825">
        <f t="shared" ref="G101" si="120">SUM(G96:G100)</f>
        <v>0</v>
      </c>
      <c r="H101" s="825">
        <f t="shared" ref="H101" si="121">SUM(H96:H100)</f>
        <v>0</v>
      </c>
      <c r="I101" s="825">
        <f t="shared" ref="I101" si="122">SUM(I96:I100)</f>
        <v>0</v>
      </c>
      <c r="J101" s="825">
        <f t="shared" ref="J101" si="123">SUM(J96:J100)</f>
        <v>0</v>
      </c>
      <c r="K101" s="825">
        <f t="shared" ref="K101" si="124">SUM(K96:K100)</f>
        <v>0</v>
      </c>
      <c r="L101" s="825">
        <f t="shared" ref="L101" si="125">SUM(L96:L100)</f>
        <v>0</v>
      </c>
      <c r="M101" s="825">
        <f t="shared" ref="M101" si="126">SUM(M96:M100)</f>
        <v>0</v>
      </c>
      <c r="N101" s="825">
        <f t="shared" ref="N101" si="127">SUM(N96:N100)</f>
        <v>0</v>
      </c>
      <c r="O101" s="825">
        <f t="shared" ref="O101" si="128">SUM(O96:O100)</f>
        <v>0</v>
      </c>
      <c r="P101" s="825">
        <f t="shared" ref="P101" si="129">SUM(P96:P100)</f>
        <v>0</v>
      </c>
      <c r="Q101" s="825">
        <f t="shared" ref="Q101" si="130">SUM(Q96:Q100)</f>
        <v>0</v>
      </c>
      <c r="R101" s="826">
        <f t="shared" ref="R101" si="131">SUM(R96:R100)</f>
        <v>0</v>
      </c>
      <c r="S101" s="17"/>
    </row>
    <row r="102" spans="1:25" s="12" customFormat="1" ht="14.25" thickBot="1" x14ac:dyDescent="0.35">
      <c r="B102" s="827"/>
      <c r="C102" s="17"/>
      <c r="D102" s="828"/>
      <c r="E102" s="828"/>
      <c r="F102" s="828"/>
      <c r="G102" s="828"/>
      <c r="H102" s="828"/>
      <c r="I102" s="828"/>
      <c r="J102" s="828"/>
      <c r="K102" s="828"/>
      <c r="L102" s="828"/>
      <c r="M102" s="828"/>
      <c r="N102" s="828"/>
      <c r="O102" s="828"/>
      <c r="P102" s="828"/>
      <c r="Q102" s="828"/>
      <c r="R102" s="828"/>
      <c r="S102" s="17"/>
    </row>
    <row r="103" spans="1:25" s="12" customFormat="1" ht="12.75" customHeight="1" x14ac:dyDescent="0.3">
      <c r="B103" s="806" t="str">
        <f>B94</f>
        <v>3.7.</v>
      </c>
      <c r="C103" s="807" t="str">
        <f>C94</f>
        <v>Přírůstkové přepravní výkony (oskm)</v>
      </c>
      <c r="D103" s="1878">
        <f>R94+1</f>
        <v>2041</v>
      </c>
      <c r="E103" s="1850">
        <f t="shared" ref="E103" si="132">D103+1</f>
        <v>2042</v>
      </c>
      <c r="F103" s="1850">
        <f t="shared" ref="F103" si="133">E103+1</f>
        <v>2043</v>
      </c>
      <c r="G103" s="1850">
        <f t="shared" ref="G103" si="134">F103+1</f>
        <v>2044</v>
      </c>
      <c r="H103" s="1850">
        <f t="shared" ref="H103" si="135">G103+1</f>
        <v>2045</v>
      </c>
      <c r="I103" s="1850">
        <f t="shared" ref="I103" si="136">H103+1</f>
        <v>2046</v>
      </c>
      <c r="J103" s="1850">
        <f t="shared" ref="J103" si="137">I103+1</f>
        <v>2047</v>
      </c>
      <c r="K103" s="1850">
        <f t="shared" ref="K103" si="138">J103+1</f>
        <v>2048</v>
      </c>
      <c r="L103" s="1850">
        <f t="shared" ref="L103" si="139">K103+1</f>
        <v>2049</v>
      </c>
      <c r="M103" s="1850">
        <f t="shared" ref="M103" si="140">L103+1</f>
        <v>2050</v>
      </c>
      <c r="N103" s="1850">
        <f t="shared" ref="N103" si="141">M103+1</f>
        <v>2051</v>
      </c>
      <c r="O103" s="1850">
        <f t="shared" ref="O103" si="142">N103+1</f>
        <v>2052</v>
      </c>
      <c r="P103" s="1850">
        <f t="shared" ref="P103" si="143">O103+1</f>
        <v>2053</v>
      </c>
      <c r="Q103" s="1850">
        <f t="shared" ref="Q103" si="144">P103+1</f>
        <v>2054</v>
      </c>
      <c r="R103" s="1882">
        <f t="shared" ref="R103" si="145">Q103+1</f>
        <v>2055</v>
      </c>
      <c r="S103" s="17"/>
    </row>
    <row r="104" spans="1:25" s="12" customFormat="1" ht="12.75" customHeight="1" thickBot="1" x14ac:dyDescent="0.35">
      <c r="B104" s="808" t="s">
        <v>5</v>
      </c>
      <c r="C104" s="809"/>
      <c r="D104" s="1879">
        <f>R95+1</f>
        <v>1</v>
      </c>
      <c r="E104" s="1851"/>
      <c r="F104" s="1851"/>
      <c r="G104" s="1851"/>
      <c r="H104" s="1851"/>
      <c r="I104" s="1851"/>
      <c r="J104" s="1851"/>
      <c r="K104" s="1851"/>
      <c r="L104" s="1851"/>
      <c r="M104" s="1851"/>
      <c r="N104" s="1851"/>
      <c r="O104" s="1851"/>
      <c r="P104" s="1851"/>
      <c r="Q104" s="1851"/>
      <c r="R104" s="1883"/>
      <c r="S104" s="17"/>
    </row>
    <row r="105" spans="1:25" s="12" customFormat="1" ht="12.75" customHeight="1" x14ac:dyDescent="0.3">
      <c r="A105" s="108"/>
      <c r="B105" s="810"/>
      <c r="C105" s="811" t="str">
        <f>C96</f>
        <v>tis. osobokm, BUS</v>
      </c>
      <c r="D105" s="812">
        <f>D69-D87</f>
        <v>0</v>
      </c>
      <c r="E105" s="813">
        <f t="shared" ref="E105:R105" si="146">E69-E87</f>
        <v>0</v>
      </c>
      <c r="F105" s="813">
        <f t="shared" si="146"/>
        <v>0</v>
      </c>
      <c r="G105" s="813">
        <f t="shared" si="146"/>
        <v>0</v>
      </c>
      <c r="H105" s="813">
        <f t="shared" si="146"/>
        <v>0</v>
      </c>
      <c r="I105" s="813">
        <f t="shared" si="146"/>
        <v>0</v>
      </c>
      <c r="J105" s="813">
        <f t="shared" si="146"/>
        <v>0</v>
      </c>
      <c r="K105" s="813">
        <f t="shared" si="146"/>
        <v>0</v>
      </c>
      <c r="L105" s="813">
        <f t="shared" si="146"/>
        <v>0</v>
      </c>
      <c r="M105" s="813">
        <f t="shared" si="146"/>
        <v>0</v>
      </c>
      <c r="N105" s="813">
        <f t="shared" si="146"/>
        <v>0</v>
      </c>
      <c r="O105" s="813">
        <f t="shared" si="146"/>
        <v>0</v>
      </c>
      <c r="P105" s="813">
        <f t="shared" si="146"/>
        <v>0</v>
      </c>
      <c r="Q105" s="813">
        <f t="shared" si="146"/>
        <v>0</v>
      </c>
      <c r="R105" s="814">
        <f t="shared" si="146"/>
        <v>0</v>
      </c>
      <c r="S105" s="17"/>
    </row>
    <row r="106" spans="1:25" s="12" customFormat="1" ht="12.75" customHeight="1" x14ac:dyDescent="0.3">
      <c r="A106" s="108"/>
      <c r="B106" s="815"/>
      <c r="C106" s="816" t="str">
        <f t="shared" ref="C106:C109" si="147">C97</f>
        <v>tis. osobokm, trolejbus</v>
      </c>
      <c r="D106" s="817">
        <f t="shared" ref="D106:R106" si="148">D70-D88</f>
        <v>0</v>
      </c>
      <c r="E106" s="818">
        <f t="shared" si="148"/>
        <v>0</v>
      </c>
      <c r="F106" s="818">
        <f t="shared" si="148"/>
        <v>0</v>
      </c>
      <c r="G106" s="818">
        <f t="shared" si="148"/>
        <v>0</v>
      </c>
      <c r="H106" s="818">
        <f t="shared" si="148"/>
        <v>0</v>
      </c>
      <c r="I106" s="818">
        <f t="shared" si="148"/>
        <v>0</v>
      </c>
      <c r="J106" s="818">
        <f t="shared" si="148"/>
        <v>0</v>
      </c>
      <c r="K106" s="818">
        <f t="shared" si="148"/>
        <v>0</v>
      </c>
      <c r="L106" s="818">
        <f t="shared" si="148"/>
        <v>0</v>
      </c>
      <c r="M106" s="818">
        <f t="shared" si="148"/>
        <v>0</v>
      </c>
      <c r="N106" s="818">
        <f t="shared" si="148"/>
        <v>0</v>
      </c>
      <c r="O106" s="818">
        <f t="shared" si="148"/>
        <v>0</v>
      </c>
      <c r="P106" s="818">
        <f t="shared" si="148"/>
        <v>0</v>
      </c>
      <c r="Q106" s="818">
        <f t="shared" si="148"/>
        <v>0</v>
      </c>
      <c r="R106" s="819">
        <f t="shared" si="148"/>
        <v>0</v>
      </c>
      <c r="S106" s="17"/>
      <c r="U106" s="139"/>
      <c r="V106" s="139"/>
      <c r="W106" s="139"/>
      <c r="X106" s="139"/>
      <c r="Y106" s="139"/>
    </row>
    <row r="107" spans="1:25" s="12" customFormat="1" ht="12.75" customHeight="1" x14ac:dyDescent="0.3">
      <c r="A107" s="108"/>
      <c r="B107" s="815"/>
      <c r="C107" s="816" t="str">
        <f t="shared" si="147"/>
        <v>tis. osobokm, tramvaj</v>
      </c>
      <c r="D107" s="817">
        <f t="shared" ref="D107:R107" si="149">D71-D89</f>
        <v>0</v>
      </c>
      <c r="E107" s="818">
        <f t="shared" si="149"/>
        <v>0</v>
      </c>
      <c r="F107" s="818">
        <f t="shared" si="149"/>
        <v>0</v>
      </c>
      <c r="G107" s="818">
        <f t="shared" si="149"/>
        <v>0</v>
      </c>
      <c r="H107" s="818">
        <f t="shared" si="149"/>
        <v>0</v>
      </c>
      <c r="I107" s="818">
        <f t="shared" si="149"/>
        <v>0</v>
      </c>
      <c r="J107" s="818">
        <f t="shared" si="149"/>
        <v>0</v>
      </c>
      <c r="K107" s="818">
        <f t="shared" si="149"/>
        <v>0</v>
      </c>
      <c r="L107" s="818">
        <f t="shared" si="149"/>
        <v>0</v>
      </c>
      <c r="M107" s="818">
        <f t="shared" si="149"/>
        <v>0</v>
      </c>
      <c r="N107" s="818">
        <f t="shared" si="149"/>
        <v>0</v>
      </c>
      <c r="O107" s="818">
        <f t="shared" si="149"/>
        <v>0</v>
      </c>
      <c r="P107" s="818">
        <f t="shared" si="149"/>
        <v>0</v>
      </c>
      <c r="Q107" s="818">
        <f t="shared" si="149"/>
        <v>0</v>
      </c>
      <c r="R107" s="819">
        <f t="shared" si="149"/>
        <v>0</v>
      </c>
      <c r="S107" s="17"/>
      <c r="U107" s="139"/>
      <c r="V107" s="140"/>
      <c r="W107" s="140"/>
      <c r="X107" s="140"/>
      <c r="Y107" s="139"/>
    </row>
    <row r="108" spans="1:25" s="12" customFormat="1" ht="12.75" customHeight="1" x14ac:dyDescent="0.3">
      <c r="A108" s="108"/>
      <c r="B108" s="815"/>
      <c r="C108" s="816" t="str">
        <f t="shared" si="147"/>
        <v>tis. osobokm, metro</v>
      </c>
      <c r="D108" s="817">
        <f t="shared" ref="D108:R108" si="150">D72-D90</f>
        <v>0</v>
      </c>
      <c r="E108" s="818">
        <f t="shared" si="150"/>
        <v>0</v>
      </c>
      <c r="F108" s="818">
        <f t="shared" si="150"/>
        <v>0</v>
      </c>
      <c r="G108" s="818">
        <f t="shared" si="150"/>
        <v>0</v>
      </c>
      <c r="H108" s="818">
        <f t="shared" si="150"/>
        <v>0</v>
      </c>
      <c r="I108" s="818">
        <f t="shared" si="150"/>
        <v>0</v>
      </c>
      <c r="J108" s="818">
        <f t="shared" si="150"/>
        <v>0</v>
      </c>
      <c r="K108" s="818">
        <f t="shared" si="150"/>
        <v>0</v>
      </c>
      <c r="L108" s="818">
        <f t="shared" si="150"/>
        <v>0</v>
      </c>
      <c r="M108" s="818">
        <f t="shared" si="150"/>
        <v>0</v>
      </c>
      <c r="N108" s="818">
        <f t="shared" si="150"/>
        <v>0</v>
      </c>
      <c r="O108" s="818">
        <f t="shared" si="150"/>
        <v>0</v>
      </c>
      <c r="P108" s="818">
        <f t="shared" si="150"/>
        <v>0</v>
      </c>
      <c r="Q108" s="818">
        <f t="shared" si="150"/>
        <v>0</v>
      </c>
      <c r="R108" s="819">
        <f t="shared" si="150"/>
        <v>0</v>
      </c>
      <c r="S108" s="17"/>
      <c r="U108" s="139"/>
      <c r="V108" s="140"/>
      <c r="W108" s="140"/>
      <c r="X108" s="140"/>
      <c r="Y108" s="139"/>
    </row>
    <row r="109" spans="1:25" s="12" customFormat="1" ht="12.75" customHeight="1" x14ac:dyDescent="0.3">
      <c r="A109" s="108"/>
      <c r="B109" s="815"/>
      <c r="C109" s="816" t="str">
        <f t="shared" si="147"/>
        <v>tis. osobokm, IAD ovlivněná projektem</v>
      </c>
      <c r="D109" s="820">
        <f t="shared" ref="D109:R109" si="151">D73-D91</f>
        <v>0</v>
      </c>
      <c r="E109" s="821">
        <f t="shared" si="151"/>
        <v>0</v>
      </c>
      <c r="F109" s="821">
        <f t="shared" si="151"/>
        <v>0</v>
      </c>
      <c r="G109" s="821">
        <f t="shared" si="151"/>
        <v>0</v>
      </c>
      <c r="H109" s="821">
        <f t="shared" si="151"/>
        <v>0</v>
      </c>
      <c r="I109" s="821">
        <f t="shared" si="151"/>
        <v>0</v>
      </c>
      <c r="J109" s="821">
        <f t="shared" si="151"/>
        <v>0</v>
      </c>
      <c r="K109" s="821">
        <f t="shared" si="151"/>
        <v>0</v>
      </c>
      <c r="L109" s="821">
        <f t="shared" si="151"/>
        <v>0</v>
      </c>
      <c r="M109" s="821">
        <f t="shared" si="151"/>
        <v>0</v>
      </c>
      <c r="N109" s="821">
        <f t="shared" si="151"/>
        <v>0</v>
      </c>
      <c r="O109" s="821">
        <f t="shared" si="151"/>
        <v>0</v>
      </c>
      <c r="P109" s="821">
        <f t="shared" si="151"/>
        <v>0</v>
      </c>
      <c r="Q109" s="821">
        <f t="shared" si="151"/>
        <v>0</v>
      </c>
      <c r="R109" s="822">
        <f t="shared" si="151"/>
        <v>0</v>
      </c>
      <c r="S109" s="17"/>
      <c r="U109" s="139"/>
      <c r="V109" s="140"/>
      <c r="W109" s="140"/>
      <c r="X109" s="140"/>
      <c r="Y109" s="139"/>
    </row>
    <row r="110" spans="1:25" s="12" customFormat="1" ht="15" thickBot="1" x14ac:dyDescent="0.35">
      <c r="B110" s="823"/>
      <c r="C110" s="824" t="s">
        <v>60</v>
      </c>
      <c r="D110" s="825">
        <f>SUM(D105:D109)</f>
        <v>0</v>
      </c>
      <c r="E110" s="825">
        <f t="shared" ref="E110" si="152">SUM(E105:E109)</f>
        <v>0</v>
      </c>
      <c r="F110" s="825">
        <f t="shared" ref="F110" si="153">SUM(F105:F109)</f>
        <v>0</v>
      </c>
      <c r="G110" s="825">
        <f t="shared" ref="G110" si="154">SUM(G105:G109)</f>
        <v>0</v>
      </c>
      <c r="H110" s="825">
        <f t="shared" ref="H110" si="155">SUM(H105:H109)</f>
        <v>0</v>
      </c>
      <c r="I110" s="825">
        <f t="shared" ref="I110" si="156">SUM(I105:I109)</f>
        <v>0</v>
      </c>
      <c r="J110" s="825">
        <f t="shared" ref="J110" si="157">SUM(J105:J109)</f>
        <v>0</v>
      </c>
      <c r="K110" s="825">
        <f t="shared" ref="K110" si="158">SUM(K105:K109)</f>
        <v>0</v>
      </c>
      <c r="L110" s="825">
        <f t="shared" ref="L110" si="159">SUM(L105:L109)</f>
        <v>0</v>
      </c>
      <c r="M110" s="825">
        <f t="shared" ref="M110" si="160">SUM(M105:M109)</f>
        <v>0</v>
      </c>
      <c r="N110" s="825">
        <f t="shared" ref="N110" si="161">SUM(N105:N109)</f>
        <v>0</v>
      </c>
      <c r="O110" s="825">
        <f t="shared" ref="O110" si="162">SUM(O105:O109)</f>
        <v>0</v>
      </c>
      <c r="P110" s="825">
        <f t="shared" ref="P110" si="163">SUM(P105:P109)</f>
        <v>0</v>
      </c>
      <c r="Q110" s="825">
        <f t="shared" ref="Q110" si="164">SUM(Q105:Q109)</f>
        <v>0</v>
      </c>
      <c r="R110" s="826">
        <f t="shared" ref="R110" si="165">SUM(R105:R109)</f>
        <v>0</v>
      </c>
      <c r="S110" s="17"/>
      <c r="U110" s="141"/>
      <c r="V110" s="139"/>
      <c r="W110" s="139"/>
      <c r="X110" s="139"/>
      <c r="Y110" s="139"/>
    </row>
    <row r="111" spans="1:25" ht="14.25" thickBot="1" x14ac:dyDescent="0.35">
      <c r="B111" s="769"/>
      <c r="C111" s="769"/>
      <c r="D111" s="769"/>
      <c r="E111" s="769"/>
      <c r="F111" s="769"/>
      <c r="G111" s="769"/>
      <c r="H111" s="769"/>
      <c r="I111" s="769"/>
      <c r="J111" s="769"/>
      <c r="K111" s="769"/>
      <c r="L111" s="769"/>
      <c r="M111" s="769"/>
      <c r="N111" s="769"/>
      <c r="O111" s="769"/>
      <c r="P111" s="769"/>
      <c r="Q111" s="769"/>
      <c r="R111" s="769"/>
      <c r="S111" s="769"/>
    </row>
    <row r="112" spans="1:25" x14ac:dyDescent="0.3">
      <c r="B112" s="1884" t="str">
        <f>IF('0 Úvod'!$M$10="English",Slovnik!$D$164,Slovnik!$C$164)</f>
        <v>Komentáře</v>
      </c>
      <c r="C112" s="1885"/>
      <c r="D112" s="1885"/>
      <c r="E112" s="1885"/>
      <c r="F112" s="1885"/>
      <c r="G112" s="1885"/>
      <c r="H112" s="1885"/>
      <c r="I112" s="1885"/>
      <c r="J112" s="1885"/>
      <c r="K112" s="1885"/>
      <c r="L112" s="1885"/>
      <c r="M112" s="1885"/>
      <c r="N112" s="1885"/>
      <c r="O112" s="1885"/>
      <c r="P112" s="1885"/>
      <c r="Q112" s="1885"/>
      <c r="R112" s="1886"/>
      <c r="S112" s="1887"/>
    </row>
    <row r="113" spans="2:19" ht="14.25" thickBot="1" x14ac:dyDescent="0.35">
      <c r="B113" s="1888"/>
      <c r="C113" s="1889"/>
      <c r="D113" s="1889"/>
      <c r="E113" s="1889"/>
      <c r="F113" s="1889"/>
      <c r="G113" s="1889"/>
      <c r="H113" s="1889"/>
      <c r="I113" s="1889"/>
      <c r="J113" s="1889"/>
      <c r="K113" s="1889"/>
      <c r="L113" s="1889"/>
      <c r="M113" s="1889"/>
      <c r="N113" s="1889"/>
      <c r="O113" s="1889"/>
      <c r="P113" s="1889"/>
      <c r="Q113" s="1889"/>
      <c r="R113" s="1890"/>
      <c r="S113" s="1891"/>
    </row>
    <row r="114" spans="2:19" ht="14.25" thickBot="1" x14ac:dyDescent="0.35">
      <c r="B114" s="1892" t="s">
        <v>1557</v>
      </c>
      <c r="C114" s="1893"/>
      <c r="D114" s="1893"/>
      <c r="E114" s="1893"/>
      <c r="F114" s="1893"/>
      <c r="G114" s="1893"/>
      <c r="H114" s="1893"/>
      <c r="I114" s="1893"/>
      <c r="J114" s="1893"/>
      <c r="K114" s="1893"/>
      <c r="L114" s="1893"/>
      <c r="M114" s="1893"/>
      <c r="N114" s="1893"/>
      <c r="O114" s="1893"/>
      <c r="P114" s="1893"/>
      <c r="Q114" s="1893"/>
      <c r="R114" s="1893"/>
      <c r="S114" s="1894"/>
    </row>
    <row r="157" spans="2:18" ht="14.25" thickBot="1" x14ac:dyDescent="0.35"/>
    <row r="158" spans="2:18" x14ac:dyDescent="0.3">
      <c r="B158" s="1858" t="str">
        <f>IF('0 Úvod'!$M$10="English",Slovnik!$D$183,Slovnik!$C$183)</f>
        <v>Komentáře</v>
      </c>
      <c r="C158" s="1859"/>
      <c r="D158" s="1859"/>
      <c r="E158" s="1859"/>
      <c r="F158" s="1859"/>
      <c r="G158" s="1859"/>
      <c r="H158" s="1859"/>
      <c r="I158" s="1859"/>
      <c r="J158" s="1859"/>
      <c r="K158" s="1859"/>
      <c r="L158" s="1859"/>
      <c r="M158" s="1859"/>
      <c r="N158" s="1859"/>
      <c r="O158" s="1859"/>
      <c r="P158" s="1859"/>
      <c r="Q158" s="1860"/>
      <c r="R158" s="1861"/>
    </row>
    <row r="159" spans="2:18" ht="14.25" thickBot="1" x14ac:dyDescent="0.35">
      <c r="B159" s="1862"/>
      <c r="C159" s="1863"/>
      <c r="D159" s="1863"/>
      <c r="E159" s="1863"/>
      <c r="F159" s="1863"/>
      <c r="G159" s="1863"/>
      <c r="H159" s="1863"/>
      <c r="I159" s="1863"/>
      <c r="J159" s="1863"/>
      <c r="K159" s="1863"/>
      <c r="L159" s="1863"/>
      <c r="M159" s="1863"/>
      <c r="N159" s="1863"/>
      <c r="O159" s="1863"/>
      <c r="P159" s="1863"/>
      <c r="Q159" s="1864"/>
      <c r="R159" s="1865"/>
    </row>
    <row r="160" spans="2:18" ht="42.75" customHeight="1" thickBot="1" x14ac:dyDescent="0.35">
      <c r="B160" s="1866" t="s">
        <v>1384</v>
      </c>
      <c r="C160" s="1867"/>
      <c r="D160" s="1867"/>
      <c r="E160" s="1867"/>
      <c r="F160" s="1867"/>
      <c r="G160" s="1867"/>
      <c r="H160" s="1867"/>
      <c r="I160" s="1867"/>
      <c r="J160" s="1867"/>
      <c r="K160" s="1867"/>
      <c r="L160" s="1867"/>
      <c r="M160" s="1867"/>
      <c r="N160" s="1867"/>
      <c r="O160" s="1867"/>
      <c r="P160" s="1867"/>
      <c r="Q160" s="1867"/>
      <c r="R160" s="1868"/>
    </row>
    <row r="161" spans="2:18" ht="15" customHeight="1" x14ac:dyDescent="0.3">
      <c r="B161" s="1869"/>
      <c r="C161" s="1870"/>
      <c r="D161" s="1870"/>
      <c r="E161" s="1870"/>
      <c r="F161" s="1870"/>
      <c r="G161" s="1870"/>
      <c r="H161" s="1870"/>
      <c r="I161" s="1870"/>
      <c r="J161" s="1870"/>
      <c r="K161" s="1870"/>
      <c r="L161" s="1870"/>
      <c r="M161" s="1870"/>
      <c r="N161" s="1870"/>
      <c r="O161" s="1870"/>
      <c r="P161" s="1870"/>
      <c r="Q161" s="1870"/>
      <c r="R161" s="1871"/>
    </row>
    <row r="162" spans="2:18" ht="14.25" customHeight="1" thickBot="1" x14ac:dyDescent="0.35">
      <c r="B162" s="1872"/>
      <c r="C162" s="1873"/>
      <c r="D162" s="1873"/>
      <c r="E162" s="1873"/>
      <c r="F162" s="1873"/>
      <c r="G162" s="1873"/>
      <c r="H162" s="1873"/>
      <c r="I162" s="1873"/>
      <c r="J162" s="1873"/>
      <c r="K162" s="1873"/>
      <c r="L162" s="1873"/>
      <c r="M162" s="1873"/>
      <c r="N162" s="1873"/>
      <c r="O162" s="1873"/>
      <c r="P162" s="1873"/>
      <c r="Q162" s="1873"/>
      <c r="R162" s="1874"/>
    </row>
  </sheetData>
  <sheetProtection algorithmName="SHA-512" hashValue="IwcxYUYPodatbrzF2tKCQSeCv270INkJJNI7O0x4g+5jpdCBwGDRq2dqcQ9JJ9NZsj12YqL1C90FNF0L8LD1/Q==" saltValue="CrXzpxhe0rM3/LZ5N5G/SQ==" spinCount="100000" sheet="1" objects="1" scenarios="1"/>
  <mergeCells count="186">
    <mergeCell ref="B112:S113"/>
    <mergeCell ref="B114:S114"/>
    <mergeCell ref="Q103:Q104"/>
    <mergeCell ref="R103:R104"/>
    <mergeCell ref="K103:K104"/>
    <mergeCell ref="L103:L104"/>
    <mergeCell ref="M103:M104"/>
    <mergeCell ref="N103:N104"/>
    <mergeCell ref="O103:O104"/>
    <mergeCell ref="P103:P104"/>
    <mergeCell ref="P94:P95"/>
    <mergeCell ref="Q94:Q95"/>
    <mergeCell ref="R94:R95"/>
    <mergeCell ref="L94:L95"/>
    <mergeCell ref="M94:M95"/>
    <mergeCell ref="N94:N95"/>
    <mergeCell ref="O94:O95"/>
    <mergeCell ref="D103:D104"/>
    <mergeCell ref="E103:E104"/>
    <mergeCell ref="F103:F104"/>
    <mergeCell ref="G103:G104"/>
    <mergeCell ref="H103:H104"/>
    <mergeCell ref="I103:I104"/>
    <mergeCell ref="J103:J104"/>
    <mergeCell ref="J94:J95"/>
    <mergeCell ref="K94:K95"/>
    <mergeCell ref="D94:D95"/>
    <mergeCell ref="E94:E95"/>
    <mergeCell ref="F94:F95"/>
    <mergeCell ref="G94:G95"/>
    <mergeCell ref="H94:H95"/>
    <mergeCell ref="I94:I95"/>
    <mergeCell ref="M85:M86"/>
    <mergeCell ref="N85:N86"/>
    <mergeCell ref="O85:O86"/>
    <mergeCell ref="P85:P86"/>
    <mergeCell ref="Q85:Q86"/>
    <mergeCell ref="R85:R86"/>
    <mergeCell ref="R76:R77"/>
    <mergeCell ref="D85:D86"/>
    <mergeCell ref="E85:E86"/>
    <mergeCell ref="F85:F86"/>
    <mergeCell ref="G85:G86"/>
    <mergeCell ref="H85:H86"/>
    <mergeCell ref="I85:I86"/>
    <mergeCell ref="J85:J86"/>
    <mergeCell ref="K85:K86"/>
    <mergeCell ref="L85:L86"/>
    <mergeCell ref="L76:L77"/>
    <mergeCell ref="M76:M77"/>
    <mergeCell ref="N76:N77"/>
    <mergeCell ref="O76:O77"/>
    <mergeCell ref="P76:P77"/>
    <mergeCell ref="Q76:Q77"/>
    <mergeCell ref="D76:D77"/>
    <mergeCell ref="E76:E77"/>
    <mergeCell ref="F76:F77"/>
    <mergeCell ref="G76:G77"/>
    <mergeCell ref="H76:H77"/>
    <mergeCell ref="I76:I77"/>
    <mergeCell ref="J76:J77"/>
    <mergeCell ref="K76:K77"/>
    <mergeCell ref="K67:K68"/>
    <mergeCell ref="O58:O59"/>
    <mergeCell ref="P58:P59"/>
    <mergeCell ref="Q58:Q59"/>
    <mergeCell ref="R58:R59"/>
    <mergeCell ref="D67:D68"/>
    <mergeCell ref="E67:E68"/>
    <mergeCell ref="F67:F68"/>
    <mergeCell ref="G67:G68"/>
    <mergeCell ref="H67:H68"/>
    <mergeCell ref="I67:I68"/>
    <mergeCell ref="J67:J68"/>
    <mergeCell ref="Q67:Q68"/>
    <mergeCell ref="R67:R68"/>
    <mergeCell ref="L67:L68"/>
    <mergeCell ref="M67:M68"/>
    <mergeCell ref="N67:N68"/>
    <mergeCell ref="O67:O68"/>
    <mergeCell ref="P67:P68"/>
    <mergeCell ref="D58:D59"/>
    <mergeCell ref="E58:E59"/>
    <mergeCell ref="F58:F59"/>
    <mergeCell ref="G58:G59"/>
    <mergeCell ref="H58:H59"/>
    <mergeCell ref="I58:I59"/>
    <mergeCell ref="P40:P41"/>
    <mergeCell ref="Q40:Q41"/>
    <mergeCell ref="R40:R41"/>
    <mergeCell ref="D49:D50"/>
    <mergeCell ref="E49:E50"/>
    <mergeCell ref="F49:F50"/>
    <mergeCell ref="G49:G50"/>
    <mergeCell ref="H49:H50"/>
    <mergeCell ref="H40:H41"/>
    <mergeCell ref="I40:I41"/>
    <mergeCell ref="J40:J41"/>
    <mergeCell ref="K40:K41"/>
    <mergeCell ref="L40:L41"/>
    <mergeCell ref="M40:M41"/>
    <mergeCell ref="O49:O50"/>
    <mergeCell ref="P49:P50"/>
    <mergeCell ref="Q49:Q50"/>
    <mergeCell ref="R49:R50"/>
    <mergeCell ref="L49:L50"/>
    <mergeCell ref="M49:M50"/>
    <mergeCell ref="N49:N50"/>
    <mergeCell ref="B158:R159"/>
    <mergeCell ref="B160:R160"/>
    <mergeCell ref="B161:R162"/>
    <mergeCell ref="D2:R2"/>
    <mergeCell ref="D40:D41"/>
    <mergeCell ref="E40:E41"/>
    <mergeCell ref="F40:F41"/>
    <mergeCell ref="G40:G41"/>
    <mergeCell ref="K31:K32"/>
    <mergeCell ref="L31:L32"/>
    <mergeCell ref="M31:M32"/>
    <mergeCell ref="N31:N32"/>
    <mergeCell ref="O31:O32"/>
    <mergeCell ref="P31:P32"/>
    <mergeCell ref="P22:P23"/>
    <mergeCell ref="Q22:Q23"/>
    <mergeCell ref="R22:R23"/>
    <mergeCell ref="D31:D32"/>
    <mergeCell ref="E31:E32"/>
    <mergeCell ref="F31:F32"/>
    <mergeCell ref="G31:G32"/>
    <mergeCell ref="H31:H32"/>
    <mergeCell ref="N40:N41"/>
    <mergeCell ref="O40:O41"/>
    <mergeCell ref="O22:O23"/>
    <mergeCell ref="D22:D23"/>
    <mergeCell ref="E22:E23"/>
    <mergeCell ref="F22:F23"/>
    <mergeCell ref="G22:G23"/>
    <mergeCell ref="H22:H23"/>
    <mergeCell ref="I22:I23"/>
    <mergeCell ref="Q31:Q32"/>
    <mergeCell ref="R31:R32"/>
    <mergeCell ref="O13:O14"/>
    <mergeCell ref="P13:P14"/>
    <mergeCell ref="Q13:Q14"/>
    <mergeCell ref="R13:R14"/>
    <mergeCell ref="R4:R5"/>
    <mergeCell ref="D13:D14"/>
    <mergeCell ref="E13:E14"/>
    <mergeCell ref="F13:F14"/>
    <mergeCell ref="G13:G14"/>
    <mergeCell ref="H13:H14"/>
    <mergeCell ref="I13:I14"/>
    <mergeCell ref="J13:J14"/>
    <mergeCell ref="K13:K14"/>
    <mergeCell ref="L13:L14"/>
    <mergeCell ref="L4:L5"/>
    <mergeCell ref="M4:M5"/>
    <mergeCell ref="N4:N5"/>
    <mergeCell ref="O4:O5"/>
    <mergeCell ref="P4:P5"/>
    <mergeCell ref="Q4:Q5"/>
    <mergeCell ref="D4:D5"/>
    <mergeCell ref="E4:E5"/>
    <mergeCell ref="F4:F5"/>
    <mergeCell ref="G4:G5"/>
    <mergeCell ref="H4:H5"/>
    <mergeCell ref="I4:I5"/>
    <mergeCell ref="J4:J5"/>
    <mergeCell ref="K4:K5"/>
    <mergeCell ref="L58:L59"/>
    <mergeCell ref="M58:M59"/>
    <mergeCell ref="N58:N59"/>
    <mergeCell ref="J58:J59"/>
    <mergeCell ref="K58:K59"/>
    <mergeCell ref="M13:M14"/>
    <mergeCell ref="N13:N14"/>
    <mergeCell ref="I31:I32"/>
    <mergeCell ref="J31:J32"/>
    <mergeCell ref="J22:J23"/>
    <mergeCell ref="K22:K23"/>
    <mergeCell ref="L22:L23"/>
    <mergeCell ref="M22:M23"/>
    <mergeCell ref="N22:N23"/>
    <mergeCell ref="I49:I50"/>
    <mergeCell ref="J49:J50"/>
    <mergeCell ref="K49:K50"/>
  </mergeCells>
  <pageMargins left="0.39370078740157483" right="0.35433070866141736" top="0.78740157480314965" bottom="0.78740157480314965" header="0.39370078740157483" footer="0.39370078740157483"/>
  <pageSetup paperSize="9" scale="65" fitToHeight="2" orientation="landscape" r:id="rId1"/>
  <headerFooter alignWithMargins="0">
    <oddFooter>&amp;L&amp;A&amp;C&amp;D</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List38">
    <pageSetUpPr fitToPage="1"/>
  </sheetPr>
  <dimension ref="A1:AC218"/>
  <sheetViews>
    <sheetView defaultGridColor="0" colorId="23" zoomScaleNormal="100" workbookViewId="0">
      <selection activeCell="E37" sqref="E37:S37"/>
    </sheetView>
  </sheetViews>
  <sheetFormatPr defaultColWidth="9.140625" defaultRowHeight="13.5" x14ac:dyDescent="0.3"/>
  <cols>
    <col min="1" max="1" width="2.7109375" style="12" customWidth="1"/>
    <col min="2" max="2" width="6.7109375" style="12" customWidth="1"/>
    <col min="3" max="3" width="50.5703125" style="12" customWidth="1"/>
    <col min="4" max="4" width="15" style="12" customWidth="1"/>
    <col min="5" max="19" width="12.7109375" style="12" customWidth="1"/>
    <col min="20" max="21" width="10.5703125" style="12" customWidth="1"/>
    <col min="22" max="22" width="11.5703125" style="12" customWidth="1"/>
    <col min="23" max="29" width="10.5703125" style="12" customWidth="1"/>
    <col min="30" max="34" width="8.7109375" style="12" bestFit="1" customWidth="1"/>
    <col min="35" max="35" width="10.42578125" style="12" bestFit="1" customWidth="1"/>
    <col min="36" max="16384" width="9.140625" style="12"/>
  </cols>
  <sheetData>
    <row r="1" spans="2:22" ht="14.25" thickBot="1" x14ac:dyDescent="0.35">
      <c r="E1" s="102"/>
    </row>
    <row r="2" spans="2:22" ht="14.25" x14ac:dyDescent="0.3">
      <c r="B2" s="829" t="s">
        <v>20</v>
      </c>
      <c r="C2" s="830" t="str">
        <f>IF('0 Úvod'!$M$10="English",Slovnik!D123,Slovnik!C123)</f>
        <v>Celkové provozní náklady (CZK)</v>
      </c>
      <c r="D2" s="831"/>
      <c r="E2" s="1917">
        <f>'1 CIN'!E3</f>
        <v>2026</v>
      </c>
      <c r="F2" s="1907">
        <f t="shared" ref="F2:S2" si="0">E2+1</f>
        <v>2027</v>
      </c>
      <c r="G2" s="1907">
        <f t="shared" si="0"/>
        <v>2028</v>
      </c>
      <c r="H2" s="1907">
        <f t="shared" si="0"/>
        <v>2029</v>
      </c>
      <c r="I2" s="1907">
        <f t="shared" si="0"/>
        <v>2030</v>
      </c>
      <c r="J2" s="1907">
        <f t="shared" si="0"/>
        <v>2031</v>
      </c>
      <c r="K2" s="1907">
        <f t="shared" si="0"/>
        <v>2032</v>
      </c>
      <c r="L2" s="1907">
        <f t="shared" si="0"/>
        <v>2033</v>
      </c>
      <c r="M2" s="1907">
        <f t="shared" si="0"/>
        <v>2034</v>
      </c>
      <c r="N2" s="1907">
        <f t="shared" si="0"/>
        <v>2035</v>
      </c>
      <c r="O2" s="1907">
        <f t="shared" si="0"/>
        <v>2036</v>
      </c>
      <c r="P2" s="1907">
        <f t="shared" si="0"/>
        <v>2037</v>
      </c>
      <c r="Q2" s="1907">
        <f t="shared" si="0"/>
        <v>2038</v>
      </c>
      <c r="R2" s="1907">
        <f t="shared" si="0"/>
        <v>2039</v>
      </c>
      <c r="S2" s="1911">
        <f t="shared" si="0"/>
        <v>2040</v>
      </c>
    </row>
    <row r="3" spans="2:22" ht="15" thickBot="1" x14ac:dyDescent="0.35">
      <c r="B3" s="832" t="s">
        <v>4</v>
      </c>
      <c r="C3" s="833" t="str">
        <f>IF('0 Úvod'!$M$10="English",Slovnik!D124,Slovnik!C124)</f>
        <v>Scénář s projektem</v>
      </c>
      <c r="D3" s="834" t="str">
        <f>IF('0 Úvod'!$M$10="English",Slovnik!$D$133,Slovnik!$C$133)</f>
        <v>Celkem</v>
      </c>
      <c r="E3" s="1918"/>
      <c r="F3" s="1908"/>
      <c r="G3" s="1908"/>
      <c r="H3" s="1908"/>
      <c r="I3" s="1908"/>
      <c r="J3" s="1908"/>
      <c r="K3" s="1908"/>
      <c r="L3" s="1908"/>
      <c r="M3" s="1908"/>
      <c r="N3" s="1908"/>
      <c r="O3" s="1908"/>
      <c r="P3" s="1908"/>
      <c r="Q3" s="1908"/>
      <c r="R3" s="1908"/>
      <c r="S3" s="1912"/>
    </row>
    <row r="4" spans="2:22" ht="14.25" hidden="1" x14ac:dyDescent="0.3">
      <c r="B4" s="835"/>
      <c r="C4" s="658" t="str">
        <f>IF('0 Úvod'!$M$10="English",Slovnik!D125,Slovnik!C125)</f>
        <v>Náklady na údržbu a opravy - ŽELEZNIČNÍ infrastruktura</v>
      </c>
      <c r="D4" s="836">
        <f t="shared" ref="D4:D10" si="1">SUM(E4:S4,E17:S17)</f>
        <v>0</v>
      </c>
      <c r="E4" s="700"/>
      <c r="F4" s="700"/>
      <c r="G4" s="700"/>
      <c r="H4" s="700"/>
      <c r="I4" s="700"/>
      <c r="J4" s="700"/>
      <c r="K4" s="700"/>
      <c r="L4" s="700"/>
      <c r="M4" s="700"/>
      <c r="N4" s="700"/>
      <c r="O4" s="700"/>
      <c r="P4" s="700"/>
      <c r="Q4" s="700"/>
      <c r="R4" s="700"/>
      <c r="S4" s="700"/>
      <c r="T4" s="455"/>
    </row>
    <row r="5" spans="2:22" ht="14.25" hidden="1" x14ac:dyDescent="0.3">
      <c r="B5" s="837"/>
      <c r="C5" s="655" t="str">
        <f>IF('0 Úvod'!$M$10="English",Slovnik!D126,Slovnik!C126)</f>
        <v>Reinvestice (obnova) - ŽELEZNIČNÍ infrastruktura</v>
      </c>
      <c r="D5" s="838">
        <f t="shared" si="1"/>
        <v>0</v>
      </c>
      <c r="E5" s="700"/>
      <c r="F5" s="700"/>
      <c r="G5" s="700"/>
      <c r="H5" s="700"/>
      <c r="I5" s="700"/>
      <c r="J5" s="700"/>
      <c r="K5" s="700"/>
      <c r="L5" s="700"/>
      <c r="M5" s="700"/>
      <c r="N5" s="700"/>
      <c r="O5" s="700"/>
      <c r="P5" s="700"/>
      <c r="Q5" s="700"/>
      <c r="R5" s="700"/>
      <c r="S5" s="700"/>
      <c r="T5" s="455"/>
    </row>
    <row r="6" spans="2:22" ht="14.25" hidden="1" x14ac:dyDescent="0.3">
      <c r="B6" s="837"/>
      <c r="C6" s="658" t="str">
        <f>IF('0 Úvod'!$M$10="English",Slovnik!D127,Slovnik!C127)</f>
        <v>Náklady na řízení provozu - ŽELEZNIČNÍ doprava</v>
      </c>
      <c r="D6" s="838">
        <f t="shared" si="1"/>
        <v>0</v>
      </c>
      <c r="E6" s="818">
        <f>IF(E2&lt;=('0 Úvod'!$G$18+'0 Úvod'!$J$18-1),SUMPRODUCT(E105:E117,E139:E151)+E153,0)</f>
        <v>0</v>
      </c>
      <c r="F6" s="818">
        <f>IF(F2&lt;=('0 Úvod'!$G$18+'0 Úvod'!$J$18-1),SUMPRODUCT(F105:F117,F139:F151)+F153,0)</f>
        <v>0</v>
      </c>
      <c r="G6" s="818">
        <f>IF(G2&lt;=('0 Úvod'!$G$18+'0 Úvod'!$J$18-1),SUMPRODUCT(G105:G117,G139:G151)+G153,0)</f>
        <v>0</v>
      </c>
      <c r="H6" s="818">
        <f>IF(H2&lt;=('0 Úvod'!$G$18+'0 Úvod'!$J$18-1),SUMPRODUCT(H105:H117,H139:H151)+H153,0)</f>
        <v>0</v>
      </c>
      <c r="I6" s="818">
        <f>IF(I2&lt;=('0 Úvod'!$G$18+'0 Úvod'!$J$18-1),SUMPRODUCT(I105:I117,I139:I151)+I153,0)</f>
        <v>0</v>
      </c>
      <c r="J6" s="818">
        <f>IF(J2&lt;=('0 Úvod'!$G$18+'0 Úvod'!$J$18-1),SUMPRODUCT(J105:J117,J139:J151)+J153,0)</f>
        <v>0</v>
      </c>
      <c r="K6" s="818">
        <f>IF(K2&lt;=('0 Úvod'!$G$18+'0 Úvod'!$J$18-1),SUMPRODUCT(K105:K117,K139:K151)+K153,0)</f>
        <v>0</v>
      </c>
      <c r="L6" s="818">
        <f>IF(L2&lt;=('0 Úvod'!$G$18+'0 Úvod'!$J$18-1),SUMPRODUCT(L105:L117,L139:L151)+L153,0)</f>
        <v>0</v>
      </c>
      <c r="M6" s="818">
        <f>IF(M2&lt;=('0 Úvod'!$G$18+'0 Úvod'!$J$18-1),SUMPRODUCT(M105:M117,M139:M151)+M153,0)</f>
        <v>0</v>
      </c>
      <c r="N6" s="818">
        <f>IF(N2&lt;=('0 Úvod'!$G$18+'0 Úvod'!$J$18-1),SUMPRODUCT(N105:N117,N139:N151)+N153,0)</f>
        <v>0</v>
      </c>
      <c r="O6" s="818">
        <f>IF(O2&lt;=('0 Úvod'!$G$18+'0 Úvod'!$J$18-1),SUMPRODUCT(O105:O117,O139:O151)+O153,0)</f>
        <v>0</v>
      </c>
      <c r="P6" s="818">
        <f>IF(P2&lt;=('0 Úvod'!$G$18+'0 Úvod'!$J$18-1),SUMPRODUCT(P105:P117,P139:P151)+P153,0)</f>
        <v>0</v>
      </c>
      <c r="Q6" s="818">
        <f>IF(Q2&lt;=('0 Úvod'!$G$18+'0 Úvod'!$J$18-1),SUMPRODUCT(Q105:Q117,Q139:Q151)+Q153,0)</f>
        <v>0</v>
      </c>
      <c r="R6" s="818">
        <f>IF(R2&lt;=('0 Úvod'!$G$18+'0 Úvod'!$J$18-1),SUMPRODUCT(R105:R117,R139:R151)+R153,0)</f>
        <v>0</v>
      </c>
      <c r="S6" s="818">
        <f>IF(S2&lt;=('0 Úvod'!$G$18+'0 Úvod'!$J$18-1),SUMPRODUCT(S105:S117,S139:S151)+S153,0)</f>
        <v>0</v>
      </c>
      <c r="T6" s="456"/>
      <c r="U6" s="177"/>
      <c r="V6" s="177"/>
    </row>
    <row r="7" spans="2:22" ht="14.25" hidden="1" x14ac:dyDescent="0.3">
      <c r="B7" s="837"/>
      <c r="C7" s="658" t="e">
        <f>C59</f>
        <v>#REF!</v>
      </c>
      <c r="D7" s="838">
        <f t="shared" si="1"/>
        <v>0</v>
      </c>
      <c r="E7" s="700"/>
      <c r="F7" s="700"/>
      <c r="G7" s="700"/>
      <c r="H7" s="700"/>
      <c r="I7" s="700"/>
      <c r="J7" s="700"/>
      <c r="K7" s="700"/>
      <c r="L7" s="700"/>
      <c r="M7" s="700"/>
      <c r="N7" s="700"/>
      <c r="O7" s="700"/>
      <c r="P7" s="700"/>
      <c r="Q7" s="700"/>
      <c r="R7" s="700"/>
      <c r="S7" s="700"/>
      <c r="T7" s="456"/>
      <c r="U7" s="177"/>
      <c r="V7" s="177"/>
    </row>
    <row r="8" spans="2:22" ht="14.25" hidden="1" x14ac:dyDescent="0.3">
      <c r="B8" s="837"/>
      <c r="C8" s="658" t="e">
        <f>C60</f>
        <v>#REF!</v>
      </c>
      <c r="D8" s="838">
        <f t="shared" si="1"/>
        <v>0</v>
      </c>
      <c r="E8" s="700"/>
      <c r="F8" s="700"/>
      <c r="G8" s="700"/>
      <c r="H8" s="700"/>
      <c r="I8" s="700"/>
      <c r="J8" s="700"/>
      <c r="K8" s="700"/>
      <c r="L8" s="700"/>
      <c r="M8" s="700"/>
      <c r="N8" s="700"/>
      <c r="O8" s="700"/>
      <c r="P8" s="700"/>
      <c r="Q8" s="700"/>
      <c r="R8" s="700"/>
      <c r="S8" s="700"/>
      <c r="T8" s="456"/>
      <c r="U8" s="177"/>
      <c r="V8" s="177"/>
    </row>
    <row r="9" spans="2:22" ht="14.25" hidden="1" x14ac:dyDescent="0.3">
      <c r="B9" s="837"/>
      <c r="C9" s="658" t="str">
        <f>IF('0 Úvod'!$M$10="English",Slovnik!D130,Slovnik!C130)</f>
        <v>Náklady na běžnou údržbu VODNÍ infrastruktury</v>
      </c>
      <c r="D9" s="838">
        <f t="shared" si="1"/>
        <v>0</v>
      </c>
      <c r="E9" s="700"/>
      <c r="F9" s="700"/>
      <c r="G9" s="700"/>
      <c r="H9" s="700"/>
      <c r="I9" s="700"/>
      <c r="J9" s="700"/>
      <c r="K9" s="700"/>
      <c r="L9" s="700"/>
      <c r="M9" s="700"/>
      <c r="N9" s="700"/>
      <c r="O9" s="700"/>
      <c r="P9" s="700"/>
      <c r="Q9" s="700"/>
      <c r="R9" s="700"/>
      <c r="S9" s="700"/>
      <c r="T9" s="456"/>
      <c r="U9" s="177"/>
      <c r="V9" s="177"/>
    </row>
    <row r="10" spans="2:22" ht="14.25" hidden="1" x14ac:dyDescent="0.3">
      <c r="B10" s="837"/>
      <c r="C10" s="658" t="str">
        <f>IF('0 Úvod'!$M$10="English",Slovnik!D131,Slovnik!C131)</f>
        <v>Náklady na opravy VODNÍ infrastruktury</v>
      </c>
      <c r="D10" s="838">
        <f t="shared" si="1"/>
        <v>0</v>
      </c>
      <c r="E10" s="700"/>
      <c r="F10" s="700"/>
      <c r="G10" s="700"/>
      <c r="H10" s="700"/>
      <c r="I10" s="700"/>
      <c r="J10" s="700"/>
      <c r="K10" s="700"/>
      <c r="L10" s="700"/>
      <c r="M10" s="700"/>
      <c r="N10" s="700"/>
      <c r="O10" s="700"/>
      <c r="P10" s="700"/>
      <c r="Q10" s="700"/>
      <c r="R10" s="700"/>
      <c r="S10" s="700"/>
      <c r="T10" s="456"/>
      <c r="U10" s="177"/>
      <c r="V10" s="177"/>
    </row>
    <row r="11" spans="2:22" ht="14.25" x14ac:dyDescent="0.3">
      <c r="B11" s="837"/>
      <c r="C11" s="658" t="str">
        <f>IF('0 Úvod'!$M$10="English",Slovnik!D731,Slovnik!C731)</f>
        <v>Náklady na běžnou údržbu infrastruktury</v>
      </c>
      <c r="D11" s="838">
        <f t="shared" ref="D11:D12" si="2">SUM(E11:S11,E24:S24)</f>
        <v>0</v>
      </c>
      <c r="E11" s="14"/>
      <c r="F11" s="14"/>
      <c r="G11" s="14"/>
      <c r="H11" s="14"/>
      <c r="I11" s="14"/>
      <c r="J11" s="14"/>
      <c r="K11" s="14"/>
      <c r="L11" s="14"/>
      <c r="M11" s="14"/>
      <c r="N11" s="14"/>
      <c r="O11" s="14"/>
      <c r="P11" s="14"/>
      <c r="Q11" s="14"/>
      <c r="R11" s="14"/>
      <c r="S11" s="14"/>
      <c r="T11" s="456"/>
      <c r="U11" s="177"/>
      <c r="V11" s="177"/>
    </row>
    <row r="12" spans="2:22" ht="14.25" x14ac:dyDescent="0.3">
      <c r="B12" s="837"/>
      <c r="C12" s="658" t="str">
        <f>IF('0 Úvod'!$M$10="English",Slovnik!D732,Slovnik!C732)</f>
        <v>Náklady na opravy a reinvestice</v>
      </c>
      <c r="D12" s="838">
        <f t="shared" si="2"/>
        <v>0</v>
      </c>
      <c r="E12" s="14"/>
      <c r="F12" s="14"/>
      <c r="G12" s="14"/>
      <c r="H12" s="14"/>
      <c r="I12" s="14"/>
      <c r="J12" s="14"/>
      <c r="K12" s="14"/>
      <c r="L12" s="14"/>
      <c r="M12" s="14"/>
      <c r="N12" s="14"/>
      <c r="O12" s="14"/>
      <c r="P12" s="14"/>
      <c r="Q12" s="14"/>
      <c r="R12" s="14"/>
      <c r="S12" s="14"/>
      <c r="T12" s="456"/>
      <c r="U12" s="177"/>
      <c r="V12" s="177"/>
    </row>
    <row r="13" spans="2:22" ht="15" thickBot="1" x14ac:dyDescent="0.35">
      <c r="B13" s="839"/>
      <c r="C13" s="840" t="str">
        <f>IF('0 Úvod'!$M$10="English",Slovnik!D132,Slovnik!C132)</f>
        <v>Celkové PN infrastruktury</v>
      </c>
      <c r="D13" s="841">
        <f t="shared" ref="D13" si="3">SUM(E13:S13,E26:S26)</f>
        <v>0</v>
      </c>
      <c r="E13" s="842">
        <f>SUM(E4:E12)</f>
        <v>0</v>
      </c>
      <c r="F13" s="843">
        <f t="shared" ref="F13:S13" si="4">SUM(F4:F12)</f>
        <v>0</v>
      </c>
      <c r="G13" s="843">
        <f t="shared" si="4"/>
        <v>0</v>
      </c>
      <c r="H13" s="843">
        <f t="shared" si="4"/>
        <v>0</v>
      </c>
      <c r="I13" s="843">
        <f t="shared" si="4"/>
        <v>0</v>
      </c>
      <c r="J13" s="843">
        <f t="shared" si="4"/>
        <v>0</v>
      </c>
      <c r="K13" s="843">
        <f t="shared" si="4"/>
        <v>0</v>
      </c>
      <c r="L13" s="843">
        <f t="shared" si="4"/>
        <v>0</v>
      </c>
      <c r="M13" s="843">
        <f t="shared" si="4"/>
        <v>0</v>
      </c>
      <c r="N13" s="843">
        <f t="shared" si="4"/>
        <v>0</v>
      </c>
      <c r="O13" s="843">
        <f t="shared" si="4"/>
        <v>0</v>
      </c>
      <c r="P13" s="843">
        <f t="shared" si="4"/>
        <v>0</v>
      </c>
      <c r="Q13" s="843">
        <f t="shared" si="4"/>
        <v>0</v>
      </c>
      <c r="R13" s="843">
        <f t="shared" si="4"/>
        <v>0</v>
      </c>
      <c r="S13" s="844">
        <f t="shared" si="4"/>
        <v>0</v>
      </c>
      <c r="T13" s="177"/>
      <c r="U13" s="177"/>
      <c r="V13" s="177"/>
    </row>
    <row r="14" spans="2:22" ht="14.25" thickBot="1" x14ac:dyDescent="0.35">
      <c r="B14" s="845"/>
      <c r="C14" s="17"/>
      <c r="D14" s="846"/>
      <c r="E14" s="846"/>
      <c r="F14" s="846"/>
      <c r="G14" s="846"/>
      <c r="H14" s="846"/>
      <c r="I14" s="846"/>
      <c r="J14" s="846"/>
      <c r="K14" s="846"/>
      <c r="L14" s="846"/>
      <c r="M14" s="846"/>
      <c r="N14" s="846"/>
      <c r="O14" s="846"/>
      <c r="P14" s="846"/>
      <c r="Q14" s="846"/>
      <c r="R14" s="846"/>
      <c r="S14" s="846"/>
    </row>
    <row r="15" spans="2:22" ht="14.25" x14ac:dyDescent="0.3">
      <c r="B15" s="829" t="str">
        <f>B2</f>
        <v>4.1.</v>
      </c>
      <c r="C15" s="830" t="str">
        <f>IF('0 Úvod'!$M$10="English",Slovnik!D123,Slovnik!C123)</f>
        <v>Celkové provozní náklady (CZK)</v>
      </c>
      <c r="D15" s="847"/>
      <c r="E15" s="1917">
        <f>S2+1</f>
        <v>2041</v>
      </c>
      <c r="F15" s="1907">
        <f t="shared" ref="F15:S15" si="5">E15+1</f>
        <v>2042</v>
      </c>
      <c r="G15" s="1907">
        <f t="shared" si="5"/>
        <v>2043</v>
      </c>
      <c r="H15" s="1907">
        <f t="shared" si="5"/>
        <v>2044</v>
      </c>
      <c r="I15" s="1907">
        <f t="shared" si="5"/>
        <v>2045</v>
      </c>
      <c r="J15" s="1907">
        <f t="shared" si="5"/>
        <v>2046</v>
      </c>
      <c r="K15" s="1907">
        <f t="shared" si="5"/>
        <v>2047</v>
      </c>
      <c r="L15" s="1907">
        <f t="shared" si="5"/>
        <v>2048</v>
      </c>
      <c r="M15" s="1907">
        <f t="shared" si="5"/>
        <v>2049</v>
      </c>
      <c r="N15" s="1907">
        <f t="shared" si="5"/>
        <v>2050</v>
      </c>
      <c r="O15" s="1907">
        <f t="shared" si="5"/>
        <v>2051</v>
      </c>
      <c r="P15" s="1907">
        <f t="shared" si="5"/>
        <v>2052</v>
      </c>
      <c r="Q15" s="1907">
        <f t="shared" si="5"/>
        <v>2053</v>
      </c>
      <c r="R15" s="1907">
        <f t="shared" si="5"/>
        <v>2054</v>
      </c>
      <c r="S15" s="1911">
        <f t="shared" si="5"/>
        <v>2055</v>
      </c>
    </row>
    <row r="16" spans="2:22" ht="15" thickBot="1" x14ac:dyDescent="0.35">
      <c r="B16" s="832" t="s">
        <v>5</v>
      </c>
      <c r="C16" s="833" t="str">
        <f>IF('0 Úvod'!$M$10="English",Slovnik!D124,Slovnik!C124)</f>
        <v>Scénář s projektem</v>
      </c>
      <c r="D16" s="848"/>
      <c r="E16" s="1918"/>
      <c r="F16" s="1908"/>
      <c r="G16" s="1908"/>
      <c r="H16" s="1908"/>
      <c r="I16" s="1908"/>
      <c r="J16" s="1908"/>
      <c r="K16" s="1908"/>
      <c r="L16" s="1908"/>
      <c r="M16" s="1908"/>
      <c r="N16" s="1908"/>
      <c r="O16" s="1908"/>
      <c r="P16" s="1908"/>
      <c r="Q16" s="1908"/>
      <c r="R16" s="1908"/>
      <c r="S16" s="1912"/>
    </row>
    <row r="17" spans="1:20" ht="14.25" hidden="1" x14ac:dyDescent="0.3">
      <c r="B17" s="849"/>
      <c r="C17" s="658" t="str">
        <f>IF('0 Úvod'!$M$10="English",Slovnik!D125,Slovnik!C125)</f>
        <v>Náklady na údržbu a opravy - ŽELEZNIČNÍ infrastruktura</v>
      </c>
      <c r="D17" s="850"/>
      <c r="E17" s="700"/>
      <c r="F17" s="700"/>
      <c r="G17" s="700"/>
      <c r="H17" s="700"/>
      <c r="I17" s="700"/>
      <c r="J17" s="700"/>
      <c r="K17" s="700"/>
      <c r="L17" s="700"/>
      <c r="M17" s="700"/>
      <c r="N17" s="700"/>
      <c r="O17" s="700"/>
      <c r="P17" s="700"/>
      <c r="Q17" s="700"/>
      <c r="R17" s="700"/>
      <c r="S17" s="700"/>
      <c r="T17" s="455"/>
    </row>
    <row r="18" spans="1:20" ht="14.25" hidden="1" x14ac:dyDescent="0.3">
      <c r="B18" s="851"/>
      <c r="C18" s="655" t="str">
        <f>IF('0 Úvod'!$M$10="English",Slovnik!D126,Slovnik!C126)</f>
        <v>Reinvestice (obnova) - ŽELEZNIČNÍ infrastruktura</v>
      </c>
      <c r="D18" s="852"/>
      <c r="E18" s="700"/>
      <c r="F18" s="700"/>
      <c r="G18" s="700"/>
      <c r="H18" s="700"/>
      <c r="I18" s="700"/>
      <c r="J18" s="700"/>
      <c r="K18" s="700"/>
      <c r="L18" s="700"/>
      <c r="M18" s="700"/>
      <c r="N18" s="700"/>
      <c r="O18" s="700"/>
      <c r="P18" s="700"/>
      <c r="Q18" s="700"/>
      <c r="R18" s="700"/>
      <c r="S18" s="700"/>
      <c r="T18" s="455"/>
    </row>
    <row r="19" spans="1:20" ht="14.25" hidden="1" x14ac:dyDescent="0.3">
      <c r="B19" s="851"/>
      <c r="C19" s="658" t="str">
        <f>IF('0 Úvod'!$M$10="English",Slovnik!D127,Slovnik!C127)</f>
        <v>Náklady na řízení provozu - ŽELEZNIČNÍ doprava</v>
      </c>
      <c r="D19" s="852"/>
      <c r="E19" s="818">
        <f>IF(E15&lt;=('0 Úvod'!$G$18+'0 Úvod'!$J$18-1),SUMPRODUCT(E122:E134,E157:E169)+E171,0)</f>
        <v>0</v>
      </c>
      <c r="F19" s="818">
        <f>IF(F15&lt;=('0 Úvod'!$G$18+'0 Úvod'!$J$18-1),SUMPRODUCT(F122:F134,F157:F169)+F171,0)</f>
        <v>0</v>
      </c>
      <c r="G19" s="818">
        <f>IF(G15&lt;=('0 Úvod'!$G$18+'0 Úvod'!$J$18-1),SUMPRODUCT(G122:G134,G157:G169)+G171,0)</f>
        <v>0</v>
      </c>
      <c r="H19" s="818">
        <f>IF(H15&lt;=('0 Úvod'!$G$18+'0 Úvod'!$J$18-1),SUMPRODUCT(H122:H134,H157:H169)+H171,0)</f>
        <v>0</v>
      </c>
      <c r="I19" s="818">
        <f>IF(I15&lt;=('0 Úvod'!$G$18+'0 Úvod'!$J$18-1),SUMPRODUCT(I122:I134,I157:I169)+I171,0)</f>
        <v>0</v>
      </c>
      <c r="J19" s="818">
        <f>IF(J15&lt;=('0 Úvod'!$G$18+'0 Úvod'!$J$18-1),SUMPRODUCT(J122:J134,J157:J169)+J171,0)</f>
        <v>0</v>
      </c>
      <c r="K19" s="818">
        <f>IF(K15&lt;=('0 Úvod'!$G$18+'0 Úvod'!$J$18-1),SUMPRODUCT(K122:K134,K157:K169)+K171,0)</f>
        <v>0</v>
      </c>
      <c r="L19" s="818">
        <f>IF(L15&lt;=('0 Úvod'!$G$18+'0 Úvod'!$J$18-1),SUMPRODUCT(L122:L134,L157:L169)+L171,0)</f>
        <v>0</v>
      </c>
      <c r="M19" s="818">
        <f>IF(M15&lt;=('0 Úvod'!$G$18+'0 Úvod'!$J$18-1),SUMPRODUCT(M122:M134,M157:M169)+M171,0)</f>
        <v>0</v>
      </c>
      <c r="N19" s="818">
        <f>IF(N15&lt;=('0 Úvod'!$G$18+'0 Úvod'!$J$18-1),SUMPRODUCT(N122:N134,N157:N169)+N171,0)</f>
        <v>0</v>
      </c>
      <c r="O19" s="818">
        <f>IF(O15&lt;=('0 Úvod'!$G$18+'0 Úvod'!$J$18-1),SUMPRODUCT(O122:O134,O157:O169)+O171,0)</f>
        <v>0</v>
      </c>
      <c r="P19" s="818">
        <f>IF(P15&lt;=('0 Úvod'!$G$18+'0 Úvod'!$J$18-1),SUMPRODUCT(P122:P134,P157:P169)+P171,0)</f>
        <v>0</v>
      </c>
      <c r="Q19" s="818">
        <f>IF(Q15&lt;=('0 Úvod'!$G$18+'0 Úvod'!$J$18-1),SUMPRODUCT(Q122:Q134,Q157:Q169)+Q171,0)</f>
        <v>0</v>
      </c>
      <c r="R19" s="818">
        <f>IF(R15&lt;=('0 Úvod'!$G$18+'0 Úvod'!$J$18-1),SUMPRODUCT(R122:R134,R157:R169)+R171,0)</f>
        <v>0</v>
      </c>
      <c r="S19" s="818">
        <f>IF(S15&lt;=('0 Úvod'!$G$18+'0 Úvod'!$J$18-1),SUMPRODUCT(S122:S134,S157:S169)+S171,0)</f>
        <v>0</v>
      </c>
      <c r="T19" s="455"/>
    </row>
    <row r="20" spans="1:20" ht="14.25" hidden="1" x14ac:dyDescent="0.3">
      <c r="B20" s="851"/>
      <c r="C20" s="658" t="e">
        <f>C72</f>
        <v>#REF!</v>
      </c>
      <c r="D20" s="852"/>
      <c r="E20" s="700"/>
      <c r="F20" s="700"/>
      <c r="G20" s="700"/>
      <c r="H20" s="700"/>
      <c r="I20" s="700"/>
      <c r="J20" s="700"/>
      <c r="K20" s="700"/>
      <c r="L20" s="700"/>
      <c r="M20" s="700"/>
      <c r="N20" s="700"/>
      <c r="O20" s="700"/>
      <c r="P20" s="700"/>
      <c r="Q20" s="700"/>
      <c r="R20" s="700"/>
      <c r="S20" s="700"/>
      <c r="T20" s="455"/>
    </row>
    <row r="21" spans="1:20" ht="14.25" hidden="1" x14ac:dyDescent="0.3">
      <c r="B21" s="851"/>
      <c r="C21" s="658" t="e">
        <f>C73</f>
        <v>#REF!</v>
      </c>
      <c r="D21" s="852"/>
      <c r="E21" s="700"/>
      <c r="F21" s="700"/>
      <c r="G21" s="700"/>
      <c r="H21" s="700"/>
      <c r="I21" s="700"/>
      <c r="J21" s="700"/>
      <c r="K21" s="700"/>
      <c r="L21" s="700"/>
      <c r="M21" s="700"/>
      <c r="N21" s="700"/>
      <c r="O21" s="700"/>
      <c r="P21" s="700"/>
      <c r="Q21" s="700"/>
      <c r="R21" s="700"/>
      <c r="S21" s="700"/>
      <c r="T21" s="455"/>
    </row>
    <row r="22" spans="1:20" ht="14.25" hidden="1" x14ac:dyDescent="0.3">
      <c r="B22" s="853"/>
      <c r="C22" s="658" t="str">
        <f>IF('0 Úvod'!$M$10="English",Slovnik!D130,Slovnik!C130)</f>
        <v>Náklady na běžnou údržbu VODNÍ infrastruktury</v>
      </c>
      <c r="D22" s="854"/>
      <c r="E22" s="700"/>
      <c r="F22" s="700"/>
      <c r="G22" s="700"/>
      <c r="H22" s="700"/>
      <c r="I22" s="700"/>
      <c r="J22" s="700"/>
      <c r="K22" s="700"/>
      <c r="L22" s="700"/>
      <c r="M22" s="700"/>
      <c r="N22" s="700"/>
      <c r="O22" s="700"/>
      <c r="P22" s="700"/>
      <c r="Q22" s="700"/>
      <c r="R22" s="700"/>
      <c r="S22" s="700"/>
      <c r="T22" s="455"/>
    </row>
    <row r="23" spans="1:20" ht="14.25" hidden="1" x14ac:dyDescent="0.3">
      <c r="B23" s="853"/>
      <c r="C23" s="658" t="str">
        <f>IF('0 Úvod'!$M$10="English",Slovnik!D131,Slovnik!C131)</f>
        <v>Náklady na opravy VODNÍ infrastruktury</v>
      </c>
      <c r="D23" s="854"/>
      <c r="E23" s="700"/>
      <c r="F23" s="700"/>
      <c r="G23" s="700"/>
      <c r="H23" s="700"/>
      <c r="I23" s="700"/>
      <c r="J23" s="700"/>
      <c r="K23" s="700"/>
      <c r="L23" s="700"/>
      <c r="M23" s="700"/>
      <c r="N23" s="700"/>
      <c r="O23" s="700"/>
      <c r="P23" s="700"/>
      <c r="Q23" s="700"/>
      <c r="R23" s="700"/>
      <c r="S23" s="700"/>
      <c r="T23" s="455"/>
    </row>
    <row r="24" spans="1:20" ht="14.25" x14ac:dyDescent="0.3">
      <c r="B24" s="853"/>
      <c r="C24" s="658" t="str">
        <f>IF('0 Úvod'!$M$10="English",Slovnik!D731,Slovnik!C731)</f>
        <v>Náklady na běžnou údržbu infrastruktury</v>
      </c>
      <c r="D24" s="854"/>
      <c r="E24" s="14"/>
      <c r="F24" s="14"/>
      <c r="G24" s="14"/>
      <c r="H24" s="14"/>
      <c r="I24" s="14"/>
      <c r="J24" s="14"/>
      <c r="K24" s="14"/>
      <c r="L24" s="14"/>
      <c r="M24" s="14"/>
      <c r="N24" s="14"/>
      <c r="O24" s="14"/>
      <c r="P24" s="14"/>
      <c r="Q24" s="14"/>
      <c r="R24" s="14"/>
      <c r="S24" s="14"/>
      <c r="T24" s="455"/>
    </row>
    <row r="25" spans="1:20" ht="14.25" x14ac:dyDescent="0.3">
      <c r="B25" s="855"/>
      <c r="C25" s="856" t="str">
        <f>IF('0 Úvod'!$M$10="English",Slovnik!D732,Slovnik!C732)</f>
        <v>Náklady na opravy a reinvestice</v>
      </c>
      <c r="D25" s="857"/>
      <c r="E25" s="14"/>
      <c r="F25" s="14"/>
      <c r="G25" s="14"/>
      <c r="H25" s="14"/>
      <c r="I25" s="14"/>
      <c r="J25" s="14"/>
      <c r="K25" s="14"/>
      <c r="L25" s="14"/>
      <c r="M25" s="14"/>
      <c r="N25" s="14"/>
      <c r="O25" s="14"/>
      <c r="P25" s="14"/>
      <c r="Q25" s="14"/>
      <c r="R25" s="14"/>
      <c r="S25" s="14"/>
      <c r="T25" s="455"/>
    </row>
    <row r="26" spans="1:20" ht="15" thickBot="1" x14ac:dyDescent="0.35">
      <c r="A26" s="13"/>
      <c r="B26" s="858"/>
      <c r="C26" s="859" t="str">
        <f>IF('0 Úvod'!$M$10="English",Slovnik!D132,Slovnik!C132)</f>
        <v>Celkové PN infrastruktury</v>
      </c>
      <c r="D26" s="860"/>
      <c r="E26" s="842">
        <f>SUM(E17:E25)</f>
        <v>0</v>
      </c>
      <c r="F26" s="843">
        <f t="shared" ref="F26:S26" si="6">SUM(F17:F25)</f>
        <v>0</v>
      </c>
      <c r="G26" s="843">
        <f t="shared" si="6"/>
        <v>0</v>
      </c>
      <c r="H26" s="843">
        <f t="shared" si="6"/>
        <v>0</v>
      </c>
      <c r="I26" s="843">
        <f t="shared" si="6"/>
        <v>0</v>
      </c>
      <c r="J26" s="843">
        <f t="shared" si="6"/>
        <v>0</v>
      </c>
      <c r="K26" s="843">
        <f t="shared" si="6"/>
        <v>0</v>
      </c>
      <c r="L26" s="843">
        <f t="shared" si="6"/>
        <v>0</v>
      </c>
      <c r="M26" s="843">
        <f t="shared" si="6"/>
        <v>0</v>
      </c>
      <c r="N26" s="843">
        <f t="shared" si="6"/>
        <v>0</v>
      </c>
      <c r="O26" s="843">
        <f t="shared" si="6"/>
        <v>0</v>
      </c>
      <c r="P26" s="843">
        <f t="shared" si="6"/>
        <v>0</v>
      </c>
      <c r="Q26" s="843">
        <f t="shared" si="6"/>
        <v>0</v>
      </c>
      <c r="R26" s="843">
        <f t="shared" si="6"/>
        <v>0</v>
      </c>
      <c r="S26" s="844">
        <f t="shared" si="6"/>
        <v>0</v>
      </c>
    </row>
    <row r="27" spans="1:20" ht="14.25" thickBot="1" x14ac:dyDescent="0.35">
      <c r="B27" s="861"/>
      <c r="C27" s="17"/>
      <c r="D27" s="17"/>
      <c r="E27" s="17"/>
      <c r="F27" s="17"/>
      <c r="G27" s="17"/>
      <c r="H27" s="17"/>
      <c r="I27" s="17"/>
      <c r="J27" s="17"/>
      <c r="K27" s="17"/>
      <c r="L27" s="17"/>
      <c r="M27" s="17"/>
      <c r="N27" s="17"/>
      <c r="O27" s="17"/>
      <c r="P27" s="17"/>
      <c r="Q27" s="17"/>
      <c r="R27" s="17"/>
      <c r="S27" s="17"/>
    </row>
    <row r="28" spans="1:20" ht="14.25" x14ac:dyDescent="0.3">
      <c r="B28" s="862" t="s">
        <v>21</v>
      </c>
      <c r="C28" s="863" t="str">
        <f>IF('0 Úvod'!$M$10="English",Slovnik!D123,Slovnik!C123)</f>
        <v>Celkové provozní náklady (CZK)</v>
      </c>
      <c r="D28" s="864"/>
      <c r="E28" s="1915">
        <f>E2</f>
        <v>2026</v>
      </c>
      <c r="F28" s="1902">
        <f t="shared" ref="F28:S28" si="7">E28+1</f>
        <v>2027</v>
      </c>
      <c r="G28" s="1902">
        <f t="shared" si="7"/>
        <v>2028</v>
      </c>
      <c r="H28" s="1902">
        <f t="shared" si="7"/>
        <v>2029</v>
      </c>
      <c r="I28" s="1902">
        <f t="shared" si="7"/>
        <v>2030</v>
      </c>
      <c r="J28" s="1902">
        <f t="shared" si="7"/>
        <v>2031</v>
      </c>
      <c r="K28" s="1902">
        <f t="shared" si="7"/>
        <v>2032</v>
      </c>
      <c r="L28" s="1902">
        <f t="shared" si="7"/>
        <v>2033</v>
      </c>
      <c r="M28" s="1902">
        <f t="shared" si="7"/>
        <v>2034</v>
      </c>
      <c r="N28" s="1902">
        <f t="shared" si="7"/>
        <v>2035</v>
      </c>
      <c r="O28" s="1902">
        <f t="shared" si="7"/>
        <v>2036</v>
      </c>
      <c r="P28" s="1902">
        <f t="shared" si="7"/>
        <v>2037</v>
      </c>
      <c r="Q28" s="1902">
        <f t="shared" si="7"/>
        <v>2038</v>
      </c>
      <c r="R28" s="1902">
        <f t="shared" si="7"/>
        <v>2039</v>
      </c>
      <c r="S28" s="1909">
        <f t="shared" si="7"/>
        <v>2040</v>
      </c>
    </row>
    <row r="29" spans="1:20" ht="15" thickBot="1" x14ac:dyDescent="0.35">
      <c r="B29" s="865" t="s">
        <v>4</v>
      </c>
      <c r="C29" s="866" t="str">
        <f>IF('0 Úvod'!$M$10="English",Slovnik!D134,Slovnik!C134)</f>
        <v>Scénář bez projektu</v>
      </c>
      <c r="D29" s="867" t="str">
        <f>D3</f>
        <v>Celkem</v>
      </c>
      <c r="E29" s="1916"/>
      <c r="F29" s="1903"/>
      <c r="G29" s="1903"/>
      <c r="H29" s="1903"/>
      <c r="I29" s="1903"/>
      <c r="J29" s="1903"/>
      <c r="K29" s="1903"/>
      <c r="L29" s="1903"/>
      <c r="M29" s="1903"/>
      <c r="N29" s="1903"/>
      <c r="O29" s="1903"/>
      <c r="P29" s="1903"/>
      <c r="Q29" s="1903"/>
      <c r="R29" s="1903"/>
      <c r="S29" s="1910"/>
    </row>
    <row r="30" spans="1:20" ht="14.25" hidden="1" x14ac:dyDescent="0.3">
      <c r="B30" s="851"/>
      <c r="C30" s="658" t="str">
        <f>IF('0 Úvod'!$M$10="English",Slovnik!D125,Slovnik!C125)</f>
        <v>Náklady na údržbu a opravy - ŽELEZNIČNÍ infrastruktura</v>
      </c>
      <c r="D30" s="836">
        <f t="shared" ref="D30:D36" si="8">SUM(E30:S30,E43:S43)</f>
        <v>0</v>
      </c>
      <c r="E30" s="700"/>
      <c r="F30" s="700"/>
      <c r="G30" s="700"/>
      <c r="H30" s="700"/>
      <c r="I30" s="700"/>
      <c r="J30" s="700"/>
      <c r="K30" s="700"/>
      <c r="L30" s="700"/>
      <c r="M30" s="700"/>
      <c r="N30" s="700"/>
      <c r="O30" s="700"/>
      <c r="P30" s="700"/>
      <c r="Q30" s="700"/>
      <c r="R30" s="700"/>
      <c r="S30" s="700"/>
      <c r="T30" s="455"/>
    </row>
    <row r="31" spans="1:20" ht="14.25" hidden="1" x14ac:dyDescent="0.3">
      <c r="B31" s="815"/>
      <c r="C31" s="655" t="str">
        <f>IF('0 Úvod'!$M$10="English",Slovnik!D126,Slovnik!C126)</f>
        <v>Reinvestice (obnova) - ŽELEZNIČNÍ infrastruktura</v>
      </c>
      <c r="D31" s="838">
        <f t="shared" si="8"/>
        <v>0</v>
      </c>
      <c r="E31" s="700"/>
      <c r="F31" s="700"/>
      <c r="G31" s="700"/>
      <c r="H31" s="700"/>
      <c r="I31" s="700"/>
      <c r="J31" s="700"/>
      <c r="K31" s="700"/>
      <c r="L31" s="700"/>
      <c r="M31" s="700"/>
      <c r="N31" s="700"/>
      <c r="O31" s="700"/>
      <c r="P31" s="700"/>
      <c r="Q31" s="700"/>
      <c r="R31" s="700"/>
      <c r="S31" s="700"/>
      <c r="T31" s="455"/>
    </row>
    <row r="32" spans="1:20" ht="14.25" hidden="1" x14ac:dyDescent="0.3">
      <c r="B32" s="815"/>
      <c r="C32" s="658" t="str">
        <f>IF('0 Úvod'!$M$10="English",Slovnik!D127,Slovnik!C127)</f>
        <v>Náklady na řízení provozu - ŽELEZNIČNÍ doprava</v>
      </c>
      <c r="D32" s="838">
        <f t="shared" si="8"/>
        <v>0</v>
      </c>
      <c r="E32" s="818">
        <f>IF(E28&lt;=('0 Úvod'!$G$18+'0 Úvod'!$J$18-1),SUMPRODUCT(E105:E117,E175:E187)+E189,0)</f>
        <v>0</v>
      </c>
      <c r="F32" s="818">
        <f>IF(F28&lt;=('0 Úvod'!$G$18+'0 Úvod'!$J$18-1),SUMPRODUCT(F105:F117,F175:F187)+F189,0)</f>
        <v>0</v>
      </c>
      <c r="G32" s="818">
        <f>IF(G28&lt;=('0 Úvod'!$G$18+'0 Úvod'!$J$18-1),SUMPRODUCT(G105:G117,G175:G187)+G189,0)</f>
        <v>0</v>
      </c>
      <c r="H32" s="818">
        <f>IF(H28&lt;=('0 Úvod'!$G$18+'0 Úvod'!$J$18-1),SUMPRODUCT(H105:H117,H175:H187)+H189,0)</f>
        <v>0</v>
      </c>
      <c r="I32" s="818">
        <f>IF(I28&lt;=('0 Úvod'!$G$18+'0 Úvod'!$J$18-1),SUMPRODUCT(I105:I117,I175:I187)+I189,0)</f>
        <v>0</v>
      </c>
      <c r="J32" s="818">
        <f>IF(J28&lt;=('0 Úvod'!$G$18+'0 Úvod'!$J$18-1),SUMPRODUCT(J105:J117,J175:J187)+J189,0)</f>
        <v>0</v>
      </c>
      <c r="K32" s="818">
        <f>IF(K28&lt;=('0 Úvod'!$G$18+'0 Úvod'!$J$18-1),SUMPRODUCT(K105:K117,K175:K187)+K189,0)</f>
        <v>0</v>
      </c>
      <c r="L32" s="818">
        <f>IF(L28&lt;=('0 Úvod'!$G$18+'0 Úvod'!$J$18-1),SUMPRODUCT(L105:L117,L175:L187)+L189,0)</f>
        <v>0</v>
      </c>
      <c r="M32" s="818">
        <f>IF(M28&lt;=('0 Úvod'!$G$18+'0 Úvod'!$J$18-1),SUMPRODUCT(M105:M117,M175:M187)+M189,0)</f>
        <v>0</v>
      </c>
      <c r="N32" s="818">
        <f>IF(N28&lt;=('0 Úvod'!$G$18+'0 Úvod'!$J$18-1),SUMPRODUCT(N105:N117,N175:N187)+N189,0)</f>
        <v>0</v>
      </c>
      <c r="O32" s="818">
        <f>IF(O28&lt;=('0 Úvod'!$G$18+'0 Úvod'!$J$18-1),SUMPRODUCT(O105:O117,O175:O187)+O189,0)</f>
        <v>0</v>
      </c>
      <c r="P32" s="818">
        <f>IF(P28&lt;=('0 Úvod'!$G$18+'0 Úvod'!$J$18-1),SUMPRODUCT(P105:P117,P175:P187)+P189,0)</f>
        <v>0</v>
      </c>
      <c r="Q32" s="818">
        <f>IF(Q28&lt;=('0 Úvod'!$G$18+'0 Úvod'!$J$18-1),SUMPRODUCT(Q105:Q117,Q175:Q187)+Q189,0)</f>
        <v>0</v>
      </c>
      <c r="R32" s="818">
        <f>IF(R28&lt;=('0 Úvod'!$G$18+'0 Úvod'!$J$18-1),SUMPRODUCT(R105:R117,R175:R187)+R189,0)</f>
        <v>0</v>
      </c>
      <c r="S32" s="818">
        <f>IF(S28&lt;=('0 Úvod'!$G$18+'0 Úvod'!$J$18-1),SUMPRODUCT(S105:S117,S175:S187)+S189,0)</f>
        <v>0</v>
      </c>
      <c r="T32" s="455"/>
    </row>
    <row r="33" spans="2:20" ht="14.25" hidden="1" x14ac:dyDescent="0.3">
      <c r="B33" s="815"/>
      <c r="C33" s="658" t="e">
        <f>C59</f>
        <v>#REF!</v>
      </c>
      <c r="D33" s="838">
        <f t="shared" si="8"/>
        <v>0</v>
      </c>
      <c r="E33" s="700"/>
      <c r="F33" s="700"/>
      <c r="G33" s="700"/>
      <c r="H33" s="700"/>
      <c r="I33" s="700"/>
      <c r="J33" s="700"/>
      <c r="K33" s="700"/>
      <c r="L33" s="700"/>
      <c r="M33" s="700"/>
      <c r="N33" s="700"/>
      <c r="O33" s="700"/>
      <c r="P33" s="700"/>
      <c r="Q33" s="700"/>
      <c r="R33" s="700"/>
      <c r="S33" s="700"/>
      <c r="T33" s="455"/>
    </row>
    <row r="34" spans="2:20" ht="14.25" hidden="1" x14ac:dyDescent="0.3">
      <c r="B34" s="815"/>
      <c r="C34" s="658" t="e">
        <f>C60</f>
        <v>#REF!</v>
      </c>
      <c r="D34" s="838">
        <f t="shared" si="8"/>
        <v>0</v>
      </c>
      <c r="E34" s="700"/>
      <c r="F34" s="700"/>
      <c r="G34" s="700"/>
      <c r="H34" s="700"/>
      <c r="I34" s="700"/>
      <c r="J34" s="700"/>
      <c r="K34" s="700"/>
      <c r="L34" s="700"/>
      <c r="M34" s="700"/>
      <c r="N34" s="700"/>
      <c r="O34" s="700"/>
      <c r="P34" s="700"/>
      <c r="Q34" s="700"/>
      <c r="R34" s="700"/>
      <c r="S34" s="700"/>
      <c r="T34" s="455"/>
    </row>
    <row r="35" spans="2:20" ht="14.25" hidden="1" x14ac:dyDescent="0.3">
      <c r="B35" s="815"/>
      <c r="C35" s="658" t="str">
        <f>IF('0 Úvod'!$M$10="English",Slovnik!D130,Slovnik!C130)</f>
        <v>Náklady na běžnou údržbu VODNÍ infrastruktury</v>
      </c>
      <c r="D35" s="838">
        <f t="shared" si="8"/>
        <v>0</v>
      </c>
      <c r="E35" s="700"/>
      <c r="F35" s="700"/>
      <c r="G35" s="700"/>
      <c r="H35" s="700"/>
      <c r="I35" s="700"/>
      <c r="J35" s="700"/>
      <c r="K35" s="700"/>
      <c r="L35" s="700"/>
      <c r="M35" s="700"/>
      <c r="N35" s="700"/>
      <c r="O35" s="700"/>
      <c r="P35" s="700"/>
      <c r="Q35" s="700"/>
      <c r="R35" s="700"/>
      <c r="S35" s="700"/>
      <c r="T35" s="455"/>
    </row>
    <row r="36" spans="2:20" ht="14.25" hidden="1" x14ac:dyDescent="0.3">
      <c r="B36" s="815"/>
      <c r="C36" s="658" t="str">
        <f>IF('0 Úvod'!$M$10="English",Slovnik!D131,Slovnik!C131)</f>
        <v>Náklady na opravy VODNÍ infrastruktury</v>
      </c>
      <c r="D36" s="838">
        <f t="shared" si="8"/>
        <v>0</v>
      </c>
      <c r="E36" s="700"/>
      <c r="F36" s="700"/>
      <c r="G36" s="700"/>
      <c r="H36" s="700"/>
      <c r="I36" s="700"/>
      <c r="J36" s="700"/>
      <c r="K36" s="700"/>
      <c r="L36" s="700"/>
      <c r="M36" s="700"/>
      <c r="N36" s="700"/>
      <c r="O36" s="700"/>
      <c r="P36" s="700"/>
      <c r="Q36" s="700"/>
      <c r="R36" s="700"/>
      <c r="S36" s="700"/>
      <c r="T36" s="455"/>
    </row>
    <row r="37" spans="2:20" ht="14.25" x14ac:dyDescent="0.3">
      <c r="B37" s="815"/>
      <c r="C37" s="658" t="str">
        <f>IF('0 Úvod'!$M$10="English",Slovnik!D731,Slovnik!C731)</f>
        <v>Náklady na běžnou údržbu infrastruktury</v>
      </c>
      <c r="D37" s="838">
        <f t="shared" ref="D37:D38" si="9">SUM(E37:S37,E50:S50)</f>
        <v>0</v>
      </c>
      <c r="E37" s="14"/>
      <c r="F37" s="14"/>
      <c r="G37" s="14"/>
      <c r="H37" s="14"/>
      <c r="I37" s="14"/>
      <c r="J37" s="14"/>
      <c r="K37" s="14"/>
      <c r="L37" s="14"/>
      <c r="M37" s="14"/>
      <c r="N37" s="14"/>
      <c r="O37" s="14"/>
      <c r="P37" s="14"/>
      <c r="Q37" s="14"/>
      <c r="R37" s="14"/>
      <c r="S37" s="14"/>
      <c r="T37" s="455"/>
    </row>
    <row r="38" spans="2:20" ht="14.25" x14ac:dyDescent="0.3">
      <c r="B38" s="815"/>
      <c r="C38" s="658" t="str">
        <f>IF('0 Úvod'!$M$10="English",Slovnik!D732,Slovnik!C732)</f>
        <v>Náklady na opravy a reinvestice</v>
      </c>
      <c r="D38" s="838">
        <f t="shared" si="9"/>
        <v>0</v>
      </c>
      <c r="E38" s="14"/>
      <c r="F38" s="14"/>
      <c r="G38" s="14"/>
      <c r="H38" s="14"/>
      <c r="I38" s="14"/>
      <c r="J38" s="14"/>
      <c r="K38" s="14"/>
      <c r="L38" s="14"/>
      <c r="M38" s="14"/>
      <c r="N38" s="14"/>
      <c r="O38" s="14"/>
      <c r="P38" s="14"/>
      <c r="Q38" s="14"/>
      <c r="R38" s="14"/>
      <c r="S38" s="14"/>
      <c r="T38" s="455"/>
    </row>
    <row r="39" spans="2:20" ht="15" thickBot="1" x14ac:dyDescent="0.35">
      <c r="B39" s="868"/>
      <c r="C39" s="869" t="str">
        <f>IF('0 Úvod'!$M$10="English",Slovnik!D132,Slovnik!C132)</f>
        <v>Celkové PN infrastruktury</v>
      </c>
      <c r="D39" s="870">
        <f t="shared" ref="D39" si="10">SUM(E39:S39,E52:S52)</f>
        <v>0</v>
      </c>
      <c r="E39" s="871">
        <f>SUM(E30:E38)</f>
        <v>0</v>
      </c>
      <c r="F39" s="872">
        <f t="shared" ref="F39:S39" si="11">SUM(F30:F38)</f>
        <v>0</v>
      </c>
      <c r="G39" s="872">
        <f t="shared" si="11"/>
        <v>0</v>
      </c>
      <c r="H39" s="872">
        <f t="shared" si="11"/>
        <v>0</v>
      </c>
      <c r="I39" s="872">
        <f t="shared" si="11"/>
        <v>0</v>
      </c>
      <c r="J39" s="872">
        <f t="shared" si="11"/>
        <v>0</v>
      </c>
      <c r="K39" s="872">
        <f t="shared" si="11"/>
        <v>0</v>
      </c>
      <c r="L39" s="872">
        <f t="shared" si="11"/>
        <v>0</v>
      </c>
      <c r="M39" s="872">
        <f t="shared" si="11"/>
        <v>0</v>
      </c>
      <c r="N39" s="872">
        <f t="shared" si="11"/>
        <v>0</v>
      </c>
      <c r="O39" s="872">
        <f t="shared" si="11"/>
        <v>0</v>
      </c>
      <c r="P39" s="872">
        <f t="shared" si="11"/>
        <v>0</v>
      </c>
      <c r="Q39" s="872">
        <f t="shared" si="11"/>
        <v>0</v>
      </c>
      <c r="R39" s="872">
        <f t="shared" si="11"/>
        <v>0</v>
      </c>
      <c r="S39" s="873">
        <f t="shared" si="11"/>
        <v>0</v>
      </c>
    </row>
    <row r="40" spans="2:20" ht="14.25" thickBot="1" x14ac:dyDescent="0.35">
      <c r="B40" s="827"/>
      <c r="C40" s="17"/>
      <c r="D40" s="846"/>
      <c r="E40" s="846"/>
      <c r="F40" s="846"/>
      <c r="G40" s="846"/>
      <c r="H40" s="846"/>
      <c r="I40" s="846"/>
      <c r="J40" s="846"/>
      <c r="K40" s="846"/>
      <c r="L40" s="846"/>
      <c r="M40" s="846"/>
      <c r="N40" s="846"/>
      <c r="O40" s="846"/>
      <c r="P40" s="846"/>
      <c r="Q40" s="846"/>
      <c r="R40" s="846"/>
      <c r="S40" s="874"/>
    </row>
    <row r="41" spans="2:20" ht="14.25" x14ac:dyDescent="0.3">
      <c r="B41" s="862" t="str">
        <f>B28</f>
        <v>4.2.</v>
      </c>
      <c r="C41" s="863" t="str">
        <f>IF('0 Úvod'!$M$10="English",Slovnik!D123,Slovnik!C123)</f>
        <v>Celkové provozní náklady (CZK)</v>
      </c>
      <c r="D41" s="875"/>
      <c r="E41" s="1915">
        <f>S28+1</f>
        <v>2041</v>
      </c>
      <c r="F41" s="1902">
        <f t="shared" ref="F41:S41" si="12">E41+1</f>
        <v>2042</v>
      </c>
      <c r="G41" s="1902">
        <f t="shared" si="12"/>
        <v>2043</v>
      </c>
      <c r="H41" s="1902">
        <f t="shared" si="12"/>
        <v>2044</v>
      </c>
      <c r="I41" s="1902">
        <f t="shared" si="12"/>
        <v>2045</v>
      </c>
      <c r="J41" s="1902">
        <f t="shared" si="12"/>
        <v>2046</v>
      </c>
      <c r="K41" s="1902">
        <f t="shared" si="12"/>
        <v>2047</v>
      </c>
      <c r="L41" s="1902">
        <f t="shared" si="12"/>
        <v>2048</v>
      </c>
      <c r="M41" s="1902">
        <f t="shared" si="12"/>
        <v>2049</v>
      </c>
      <c r="N41" s="1902">
        <f t="shared" si="12"/>
        <v>2050</v>
      </c>
      <c r="O41" s="1902">
        <f t="shared" si="12"/>
        <v>2051</v>
      </c>
      <c r="P41" s="1902">
        <f t="shared" si="12"/>
        <v>2052</v>
      </c>
      <c r="Q41" s="1902">
        <f t="shared" si="12"/>
        <v>2053</v>
      </c>
      <c r="R41" s="1902">
        <f t="shared" si="12"/>
        <v>2054</v>
      </c>
      <c r="S41" s="1909">
        <f t="shared" si="12"/>
        <v>2055</v>
      </c>
    </row>
    <row r="42" spans="2:20" ht="15" thickBot="1" x14ac:dyDescent="0.35">
      <c r="B42" s="865" t="s">
        <v>5</v>
      </c>
      <c r="C42" s="866" t="str">
        <f>IF('0 Úvod'!$M$10="English",Slovnik!D134,Slovnik!C134)</f>
        <v>Scénář bez projektu</v>
      </c>
      <c r="D42" s="876"/>
      <c r="E42" s="1916">
        <f>S29+1</f>
        <v>1</v>
      </c>
      <c r="F42" s="1903"/>
      <c r="G42" s="1903"/>
      <c r="H42" s="1903"/>
      <c r="I42" s="1903"/>
      <c r="J42" s="1903"/>
      <c r="K42" s="1903"/>
      <c r="L42" s="1903"/>
      <c r="M42" s="1903"/>
      <c r="N42" s="1903"/>
      <c r="O42" s="1903"/>
      <c r="P42" s="1903"/>
      <c r="Q42" s="1903"/>
      <c r="R42" s="1903"/>
      <c r="S42" s="1910"/>
    </row>
    <row r="43" spans="2:20" ht="14.25" hidden="1" x14ac:dyDescent="0.3">
      <c r="B43" s="851"/>
      <c r="C43" s="658" t="str">
        <f>IF('0 Úvod'!$M$10="English",Slovnik!D125,Slovnik!C125)</f>
        <v>Náklady na údržbu a opravy - ŽELEZNIČNÍ infrastruktura</v>
      </c>
      <c r="D43" s="850"/>
      <c r="E43" s="700"/>
      <c r="F43" s="700"/>
      <c r="G43" s="700"/>
      <c r="H43" s="700"/>
      <c r="I43" s="700"/>
      <c r="J43" s="700"/>
      <c r="K43" s="700"/>
      <c r="L43" s="700"/>
      <c r="M43" s="700"/>
      <c r="N43" s="700"/>
      <c r="O43" s="700"/>
      <c r="P43" s="700"/>
      <c r="Q43" s="700"/>
      <c r="R43" s="700"/>
      <c r="S43" s="700"/>
      <c r="T43" s="455"/>
    </row>
    <row r="44" spans="2:20" ht="14.25" hidden="1" x14ac:dyDescent="0.3">
      <c r="B44" s="851"/>
      <c r="C44" s="655" t="str">
        <f>IF('0 Úvod'!$M$10="English",Slovnik!D126,Slovnik!C126)</f>
        <v>Reinvestice (obnova) - ŽELEZNIČNÍ infrastruktura</v>
      </c>
      <c r="D44" s="852"/>
      <c r="E44" s="700"/>
      <c r="F44" s="700"/>
      <c r="G44" s="700"/>
      <c r="H44" s="700"/>
      <c r="I44" s="700"/>
      <c r="J44" s="700"/>
      <c r="K44" s="700"/>
      <c r="L44" s="700"/>
      <c r="M44" s="700"/>
      <c r="N44" s="700"/>
      <c r="O44" s="700"/>
      <c r="P44" s="700"/>
      <c r="Q44" s="700"/>
      <c r="R44" s="700"/>
      <c r="S44" s="700"/>
      <c r="T44" s="455"/>
    </row>
    <row r="45" spans="2:20" ht="14.25" hidden="1" x14ac:dyDescent="0.3">
      <c r="B45" s="851"/>
      <c r="C45" s="658" t="str">
        <f>IF('0 Úvod'!$M$10="English",Slovnik!D127,Slovnik!C127)</f>
        <v>Náklady na řízení provozu - ŽELEZNIČNÍ doprava</v>
      </c>
      <c r="D45" s="852"/>
      <c r="E45" s="818">
        <f>IF(E41&lt;=('0 Úvod'!$G$18+'0 Úvod'!$J$18-1),SUMPRODUCT(E122:E134,E193:E205)+E207,0)</f>
        <v>0</v>
      </c>
      <c r="F45" s="818">
        <f>IF(F41&lt;=('0 Úvod'!$G$18+'0 Úvod'!$J$18-1),SUMPRODUCT(F122:F134,F193:F205)+F207,0)</f>
        <v>0</v>
      </c>
      <c r="G45" s="818">
        <f>IF(G41&lt;=('0 Úvod'!$G$18+'0 Úvod'!$J$18-1),SUMPRODUCT(G122:G134,G193:G205)+G207,0)</f>
        <v>0</v>
      </c>
      <c r="H45" s="818">
        <f>IF(H41&lt;=('0 Úvod'!$G$18+'0 Úvod'!$J$18-1),SUMPRODUCT(H122:H134,H193:H205)+H207,0)</f>
        <v>0</v>
      </c>
      <c r="I45" s="818">
        <f>IF(I41&lt;=('0 Úvod'!$G$18+'0 Úvod'!$J$18-1),SUMPRODUCT(I122:I134,I193:I205)+I207,0)</f>
        <v>0</v>
      </c>
      <c r="J45" s="818">
        <f>IF(J41&lt;=('0 Úvod'!$G$18+'0 Úvod'!$J$18-1),SUMPRODUCT(J122:J134,J193:J205)+J207,0)</f>
        <v>0</v>
      </c>
      <c r="K45" s="818">
        <f>IF(K41&lt;=('0 Úvod'!$G$18+'0 Úvod'!$J$18-1),SUMPRODUCT(K122:K134,K193:K205)+K207,0)</f>
        <v>0</v>
      </c>
      <c r="L45" s="818">
        <f>IF(L41&lt;=('0 Úvod'!$G$18+'0 Úvod'!$J$18-1),SUMPRODUCT(L122:L134,L193:L205)+L207,0)</f>
        <v>0</v>
      </c>
      <c r="M45" s="818">
        <f>IF(M41&lt;=('0 Úvod'!$G$18+'0 Úvod'!$J$18-1),SUMPRODUCT(M122:M134,M193:M205)+M207,0)</f>
        <v>0</v>
      </c>
      <c r="N45" s="818">
        <f>IF(N41&lt;=('0 Úvod'!$G$18+'0 Úvod'!$J$18-1),SUMPRODUCT(N122:N134,N193:N205)+N207,0)</f>
        <v>0</v>
      </c>
      <c r="O45" s="818">
        <f>IF(O41&lt;=('0 Úvod'!$G$18+'0 Úvod'!$J$18-1),SUMPRODUCT(O122:O134,O193:O205)+O207,0)</f>
        <v>0</v>
      </c>
      <c r="P45" s="818">
        <f>IF(P41&lt;=('0 Úvod'!$G$18+'0 Úvod'!$J$18-1),SUMPRODUCT(P122:P134,P193:P205)+P207,0)</f>
        <v>0</v>
      </c>
      <c r="Q45" s="818">
        <f>IF(Q41&lt;=('0 Úvod'!$G$18+'0 Úvod'!$J$18-1),SUMPRODUCT(Q122:Q134,Q193:Q205)+Q207,0)</f>
        <v>0</v>
      </c>
      <c r="R45" s="818">
        <f>IF(R41&lt;=('0 Úvod'!$G$18+'0 Úvod'!$J$18-1),SUMPRODUCT(R122:R134,R193:R205)+R207,0)</f>
        <v>0</v>
      </c>
      <c r="S45" s="818">
        <f>IF(S41&lt;=('0 Úvod'!$G$18+'0 Úvod'!$J$18-1),SUMPRODUCT(S122:S134,S193:S205)+S207,0)</f>
        <v>0</v>
      </c>
      <c r="T45" s="455"/>
    </row>
    <row r="46" spans="2:20" ht="14.25" hidden="1" x14ac:dyDescent="0.3">
      <c r="B46" s="851"/>
      <c r="C46" s="658" t="e">
        <f>C72</f>
        <v>#REF!</v>
      </c>
      <c r="D46" s="852"/>
      <c r="E46" s="700"/>
      <c r="F46" s="700"/>
      <c r="G46" s="700"/>
      <c r="H46" s="700"/>
      <c r="I46" s="700"/>
      <c r="J46" s="700"/>
      <c r="K46" s="700"/>
      <c r="L46" s="700"/>
      <c r="M46" s="700"/>
      <c r="N46" s="700"/>
      <c r="O46" s="700"/>
      <c r="P46" s="700"/>
      <c r="Q46" s="700"/>
      <c r="R46" s="700"/>
      <c r="S46" s="700"/>
      <c r="T46" s="455"/>
    </row>
    <row r="47" spans="2:20" ht="14.25" hidden="1" x14ac:dyDescent="0.3">
      <c r="B47" s="851"/>
      <c r="C47" s="658" t="e">
        <f>C73</f>
        <v>#REF!</v>
      </c>
      <c r="D47" s="852"/>
      <c r="E47" s="700"/>
      <c r="F47" s="700"/>
      <c r="G47" s="700"/>
      <c r="H47" s="700"/>
      <c r="I47" s="700"/>
      <c r="J47" s="700"/>
      <c r="K47" s="700"/>
      <c r="L47" s="700"/>
      <c r="M47" s="700"/>
      <c r="N47" s="700"/>
      <c r="O47" s="700"/>
      <c r="P47" s="700"/>
      <c r="Q47" s="700"/>
      <c r="R47" s="700"/>
      <c r="S47" s="700"/>
      <c r="T47" s="455"/>
    </row>
    <row r="48" spans="2:20" ht="14.25" hidden="1" x14ac:dyDescent="0.3">
      <c r="B48" s="853"/>
      <c r="C48" s="658" t="str">
        <f>IF('0 Úvod'!$M$10="English",Slovnik!D130,Slovnik!C130)</f>
        <v>Náklady na běžnou údržbu VODNÍ infrastruktury</v>
      </c>
      <c r="D48" s="854"/>
      <c r="E48" s="700"/>
      <c r="F48" s="700"/>
      <c r="G48" s="700"/>
      <c r="H48" s="700"/>
      <c r="I48" s="700"/>
      <c r="J48" s="700"/>
      <c r="K48" s="700"/>
      <c r="L48" s="700"/>
      <c r="M48" s="700"/>
      <c r="N48" s="700"/>
      <c r="O48" s="700"/>
      <c r="P48" s="700"/>
      <c r="Q48" s="700"/>
      <c r="R48" s="700"/>
      <c r="S48" s="700"/>
      <c r="T48" s="455"/>
    </row>
    <row r="49" spans="1:20" ht="14.25" hidden="1" x14ac:dyDescent="0.3">
      <c r="B49" s="853"/>
      <c r="C49" s="658" t="str">
        <f>IF('0 Úvod'!$M$10="English",Slovnik!D131,Slovnik!C131)</f>
        <v>Náklady na opravy VODNÍ infrastruktury</v>
      </c>
      <c r="D49" s="854"/>
      <c r="E49" s="700"/>
      <c r="F49" s="700"/>
      <c r="G49" s="700"/>
      <c r="H49" s="700"/>
      <c r="I49" s="700"/>
      <c r="J49" s="700"/>
      <c r="K49" s="700"/>
      <c r="L49" s="700"/>
      <c r="M49" s="700"/>
      <c r="N49" s="700"/>
      <c r="O49" s="700"/>
      <c r="P49" s="700"/>
      <c r="Q49" s="700"/>
      <c r="R49" s="700"/>
      <c r="S49" s="700"/>
      <c r="T49" s="455"/>
    </row>
    <row r="50" spans="1:20" ht="14.25" x14ac:dyDescent="0.3">
      <c r="B50" s="853"/>
      <c r="C50" s="658" t="str">
        <f>IF('0 Úvod'!$M$10="English",Slovnik!D731,Slovnik!C731)</f>
        <v>Náklady na běžnou údržbu infrastruktury</v>
      </c>
      <c r="D50" s="854"/>
      <c r="E50" s="14"/>
      <c r="F50" s="14"/>
      <c r="G50" s="14"/>
      <c r="H50" s="14"/>
      <c r="I50" s="14"/>
      <c r="J50" s="14"/>
      <c r="K50" s="14"/>
      <c r="L50" s="14"/>
      <c r="M50" s="14"/>
      <c r="N50" s="14"/>
      <c r="O50" s="14"/>
      <c r="P50" s="14"/>
      <c r="Q50" s="14"/>
      <c r="R50" s="14"/>
      <c r="S50" s="14"/>
      <c r="T50" s="455"/>
    </row>
    <row r="51" spans="1:20" ht="14.25" x14ac:dyDescent="0.3">
      <c r="B51" s="855"/>
      <c r="C51" s="856" t="str">
        <f>IF('0 Úvod'!$M$10="English",Slovnik!D732,Slovnik!C732)</f>
        <v>Náklady na opravy a reinvestice</v>
      </c>
      <c r="D51" s="857"/>
      <c r="E51" s="14"/>
      <c r="F51" s="14"/>
      <c r="G51" s="14"/>
      <c r="H51" s="14"/>
      <c r="I51" s="14"/>
      <c r="J51" s="14"/>
      <c r="K51" s="14"/>
      <c r="L51" s="14"/>
      <c r="M51" s="14"/>
      <c r="N51" s="14"/>
      <c r="O51" s="14"/>
      <c r="P51" s="14"/>
      <c r="Q51" s="14"/>
      <c r="R51" s="14"/>
      <c r="S51" s="14"/>
      <c r="T51" s="455"/>
    </row>
    <row r="52" spans="1:20" ht="15" thickBot="1" x14ac:dyDescent="0.35">
      <c r="A52" s="13"/>
      <c r="B52" s="877"/>
      <c r="C52" s="878" t="str">
        <f>IF('0 Úvod'!$M$10="English",Slovnik!D132,Slovnik!C132)</f>
        <v>Celkové PN infrastruktury</v>
      </c>
      <c r="D52" s="879"/>
      <c r="E52" s="871">
        <f>SUM(E43:E51)</f>
        <v>0</v>
      </c>
      <c r="F52" s="872">
        <f t="shared" ref="F52:S52" si="13">SUM(F43:F51)</f>
        <v>0</v>
      </c>
      <c r="G52" s="872">
        <f t="shared" si="13"/>
        <v>0</v>
      </c>
      <c r="H52" s="872">
        <f t="shared" si="13"/>
        <v>0</v>
      </c>
      <c r="I52" s="872">
        <f t="shared" si="13"/>
        <v>0</v>
      </c>
      <c r="J52" s="872">
        <f t="shared" si="13"/>
        <v>0</v>
      </c>
      <c r="K52" s="872">
        <f t="shared" si="13"/>
        <v>0</v>
      </c>
      <c r="L52" s="872">
        <f t="shared" si="13"/>
        <v>0</v>
      </c>
      <c r="M52" s="872">
        <f t="shared" si="13"/>
        <v>0</v>
      </c>
      <c r="N52" s="872">
        <f t="shared" si="13"/>
        <v>0</v>
      </c>
      <c r="O52" s="872">
        <f t="shared" si="13"/>
        <v>0</v>
      </c>
      <c r="P52" s="872">
        <f t="shared" si="13"/>
        <v>0</v>
      </c>
      <c r="Q52" s="872">
        <f t="shared" si="13"/>
        <v>0</v>
      </c>
      <c r="R52" s="872">
        <f t="shared" si="13"/>
        <v>0</v>
      </c>
      <c r="S52" s="873">
        <f t="shared" si="13"/>
        <v>0</v>
      </c>
    </row>
    <row r="53" spans="1:20" ht="14.25" thickBot="1" x14ac:dyDescent="0.35">
      <c r="A53" s="13"/>
      <c r="B53" s="880"/>
      <c r="C53" s="634"/>
      <c r="D53" s="846"/>
      <c r="E53" s="881"/>
      <c r="F53" s="881"/>
      <c r="G53" s="881"/>
      <c r="H53" s="881"/>
      <c r="I53" s="881"/>
      <c r="J53" s="881"/>
      <c r="K53" s="881"/>
      <c r="L53" s="881"/>
      <c r="M53" s="881"/>
      <c r="N53" s="881"/>
      <c r="O53" s="881"/>
      <c r="P53" s="881"/>
      <c r="Q53" s="881"/>
      <c r="R53" s="881"/>
      <c r="S53" s="881"/>
    </row>
    <row r="54" spans="1:20" ht="12.75" customHeight="1" x14ac:dyDescent="0.3">
      <c r="B54" s="806" t="s">
        <v>22</v>
      </c>
      <c r="C54" s="807" t="str">
        <f>IF('0 Úvod'!$M$10="English",Slovnik!D135,Slovnik!C135)</f>
        <v>Přírůstkové celkové provozní náklady (CZK)</v>
      </c>
      <c r="D54" s="882"/>
      <c r="E54" s="1878">
        <f>E2</f>
        <v>2026</v>
      </c>
      <c r="F54" s="1850">
        <f t="shared" ref="F54:S54" si="14">E54+1</f>
        <v>2027</v>
      </c>
      <c r="G54" s="1850">
        <f t="shared" si="14"/>
        <v>2028</v>
      </c>
      <c r="H54" s="1850">
        <f t="shared" si="14"/>
        <v>2029</v>
      </c>
      <c r="I54" s="1850">
        <f t="shared" si="14"/>
        <v>2030</v>
      </c>
      <c r="J54" s="1850">
        <f t="shared" si="14"/>
        <v>2031</v>
      </c>
      <c r="K54" s="1850">
        <f t="shared" si="14"/>
        <v>2032</v>
      </c>
      <c r="L54" s="1850">
        <f t="shared" si="14"/>
        <v>2033</v>
      </c>
      <c r="M54" s="1850">
        <f t="shared" si="14"/>
        <v>2034</v>
      </c>
      <c r="N54" s="1850">
        <f t="shared" si="14"/>
        <v>2035</v>
      </c>
      <c r="O54" s="1850">
        <f t="shared" si="14"/>
        <v>2036</v>
      </c>
      <c r="P54" s="1850">
        <f t="shared" si="14"/>
        <v>2037</v>
      </c>
      <c r="Q54" s="1850">
        <f t="shared" si="14"/>
        <v>2038</v>
      </c>
      <c r="R54" s="1850">
        <f t="shared" si="14"/>
        <v>2039</v>
      </c>
      <c r="S54" s="1882">
        <f t="shared" si="14"/>
        <v>2040</v>
      </c>
    </row>
    <row r="55" spans="1:20" ht="12.75" customHeight="1" thickBot="1" x14ac:dyDescent="0.35">
      <c r="B55" s="883" t="s">
        <v>4</v>
      </c>
      <c r="C55" s="884"/>
      <c r="D55" s="885" t="str">
        <f>D29</f>
        <v>Celkem</v>
      </c>
      <c r="E55" s="1905"/>
      <c r="F55" s="1904"/>
      <c r="G55" s="1904"/>
      <c r="H55" s="1904"/>
      <c r="I55" s="1904"/>
      <c r="J55" s="1904"/>
      <c r="K55" s="1904"/>
      <c r="L55" s="1904"/>
      <c r="M55" s="1904"/>
      <c r="N55" s="1904"/>
      <c r="O55" s="1904"/>
      <c r="P55" s="1904"/>
      <c r="Q55" s="1904"/>
      <c r="R55" s="1904"/>
      <c r="S55" s="1906"/>
    </row>
    <row r="56" spans="1:20" ht="12.75" hidden="1" customHeight="1" x14ac:dyDescent="0.3">
      <c r="A56" s="108"/>
      <c r="B56" s="851"/>
      <c r="C56" s="658" t="str">
        <f>IF('0 Úvod'!$M$10="English",Slovnik!D125,Slovnik!C125)</f>
        <v>Náklady na údržbu a opravy - ŽELEZNIČNÍ infrastruktura</v>
      </c>
      <c r="D56" s="836">
        <f t="shared" ref="D56:D62" si="15">SUM(E56:S56,E69:S69)</f>
        <v>0</v>
      </c>
      <c r="E56" s="886">
        <f t="shared" ref="E56:S56" si="16">E4-E30</f>
        <v>0</v>
      </c>
      <c r="F56" s="813">
        <f t="shared" si="16"/>
        <v>0</v>
      </c>
      <c r="G56" s="813">
        <f t="shared" si="16"/>
        <v>0</v>
      </c>
      <c r="H56" s="813">
        <f t="shared" si="16"/>
        <v>0</v>
      </c>
      <c r="I56" s="813">
        <f t="shared" si="16"/>
        <v>0</v>
      </c>
      <c r="J56" s="813">
        <f t="shared" si="16"/>
        <v>0</v>
      </c>
      <c r="K56" s="813">
        <f t="shared" si="16"/>
        <v>0</v>
      </c>
      <c r="L56" s="813">
        <f t="shared" si="16"/>
        <v>0</v>
      </c>
      <c r="M56" s="813">
        <f t="shared" si="16"/>
        <v>0</v>
      </c>
      <c r="N56" s="813">
        <f t="shared" si="16"/>
        <v>0</v>
      </c>
      <c r="O56" s="813">
        <f t="shared" si="16"/>
        <v>0</v>
      </c>
      <c r="P56" s="813">
        <f t="shared" si="16"/>
        <v>0</v>
      </c>
      <c r="Q56" s="813">
        <f t="shared" si="16"/>
        <v>0</v>
      </c>
      <c r="R56" s="813">
        <f t="shared" si="16"/>
        <v>0</v>
      </c>
      <c r="S56" s="814">
        <f t="shared" si="16"/>
        <v>0</v>
      </c>
    </row>
    <row r="57" spans="1:20" ht="12.75" hidden="1" customHeight="1" x14ac:dyDescent="0.3">
      <c r="A57" s="108"/>
      <c r="B57" s="815"/>
      <c r="C57" s="655" t="str">
        <f>IF('0 Úvod'!$M$10="English",Slovnik!D126,Slovnik!C126)</f>
        <v>Reinvestice (obnova) - ŽELEZNIČNÍ infrastruktura</v>
      </c>
      <c r="D57" s="838">
        <f t="shared" si="15"/>
        <v>0</v>
      </c>
      <c r="E57" s="887">
        <f t="shared" ref="E57:S57" si="17">E5-E31</f>
        <v>0</v>
      </c>
      <c r="F57" s="818">
        <f t="shared" si="17"/>
        <v>0</v>
      </c>
      <c r="G57" s="818">
        <f t="shared" si="17"/>
        <v>0</v>
      </c>
      <c r="H57" s="818">
        <f t="shared" si="17"/>
        <v>0</v>
      </c>
      <c r="I57" s="818">
        <f t="shared" si="17"/>
        <v>0</v>
      </c>
      <c r="J57" s="818">
        <f t="shared" si="17"/>
        <v>0</v>
      </c>
      <c r="K57" s="818">
        <f t="shared" si="17"/>
        <v>0</v>
      </c>
      <c r="L57" s="818">
        <f t="shared" si="17"/>
        <v>0</v>
      </c>
      <c r="M57" s="818">
        <f t="shared" si="17"/>
        <v>0</v>
      </c>
      <c r="N57" s="818">
        <f t="shared" si="17"/>
        <v>0</v>
      </c>
      <c r="O57" s="818">
        <f t="shared" si="17"/>
        <v>0</v>
      </c>
      <c r="P57" s="818">
        <f t="shared" si="17"/>
        <v>0</v>
      </c>
      <c r="Q57" s="818">
        <f t="shared" si="17"/>
        <v>0</v>
      </c>
      <c r="R57" s="818">
        <f t="shared" si="17"/>
        <v>0</v>
      </c>
      <c r="S57" s="819">
        <f t="shared" si="17"/>
        <v>0</v>
      </c>
    </row>
    <row r="58" spans="1:20" ht="12.75" hidden="1" customHeight="1" x14ac:dyDescent="0.3">
      <c r="A58" s="108"/>
      <c r="B58" s="815"/>
      <c r="C58" s="658" t="str">
        <f>IF('0 Úvod'!$M$10="English",Slovnik!D127,Slovnik!C127)</f>
        <v>Náklady na řízení provozu - ŽELEZNIČNÍ doprava</v>
      </c>
      <c r="D58" s="838">
        <f t="shared" si="15"/>
        <v>0</v>
      </c>
      <c r="E58" s="887">
        <f t="shared" ref="E58:S58" si="18">E6-E32</f>
        <v>0</v>
      </c>
      <c r="F58" s="818">
        <f t="shared" si="18"/>
        <v>0</v>
      </c>
      <c r="G58" s="818">
        <f t="shared" si="18"/>
        <v>0</v>
      </c>
      <c r="H58" s="818">
        <f t="shared" si="18"/>
        <v>0</v>
      </c>
      <c r="I58" s="818">
        <f t="shared" si="18"/>
        <v>0</v>
      </c>
      <c r="J58" s="818">
        <f t="shared" si="18"/>
        <v>0</v>
      </c>
      <c r="K58" s="818">
        <f t="shared" si="18"/>
        <v>0</v>
      </c>
      <c r="L58" s="818">
        <f t="shared" si="18"/>
        <v>0</v>
      </c>
      <c r="M58" s="818">
        <f t="shared" si="18"/>
        <v>0</v>
      </c>
      <c r="N58" s="818">
        <f t="shared" si="18"/>
        <v>0</v>
      </c>
      <c r="O58" s="818">
        <f t="shared" si="18"/>
        <v>0</v>
      </c>
      <c r="P58" s="818">
        <f t="shared" si="18"/>
        <v>0</v>
      </c>
      <c r="Q58" s="818">
        <f t="shared" si="18"/>
        <v>0</v>
      </c>
      <c r="R58" s="818">
        <f t="shared" si="18"/>
        <v>0</v>
      </c>
      <c r="S58" s="819">
        <f t="shared" si="18"/>
        <v>0</v>
      </c>
    </row>
    <row r="59" spans="1:20" ht="12.75" hidden="1" customHeight="1" x14ac:dyDescent="0.3">
      <c r="A59" s="108"/>
      <c r="B59" s="815"/>
      <c r="C59" s="658" t="e">
        <f>IF(PINFRA="SILNIČNÍ",IF('0 Úvod'!$M$10="English",Slovnik!D764,Slovnik!C764),IF(SUM(#REF!)=0,IF('0 Úvod'!$M$10="English",Slovnik!D128,Slovnik!C128),IF('0 Úvod'!$M$10="English",Slovnik!D764,Slovnik!C764)))</f>
        <v>#REF!</v>
      </c>
      <c r="D59" s="838" t="e">
        <f t="shared" si="15"/>
        <v>#REF!</v>
      </c>
      <c r="E59" s="887" t="e">
        <f>(E7-E33)+IF(#REF!=0,0,(#REF!-#REF!)/'13 Ekonomická analýza'!F16*1000000)</f>
        <v>#REF!</v>
      </c>
      <c r="F59" s="818" t="e">
        <f>(F7-F33)+IF(#REF!=0,0,(#REF!-#REF!)/'13 Ekonomická analýza'!G16*1000000)</f>
        <v>#REF!</v>
      </c>
      <c r="G59" s="818" t="e">
        <f>(G7-G33)+IF(#REF!=0,0,(#REF!-#REF!)/'13 Ekonomická analýza'!H16*1000000)</f>
        <v>#REF!</v>
      </c>
      <c r="H59" s="818" t="e">
        <f>(H7-H33)+IF(#REF!=0,0,(#REF!-#REF!)/'13 Ekonomická analýza'!I16*1000000)</f>
        <v>#REF!</v>
      </c>
      <c r="I59" s="818" t="e">
        <f>(I7-I33)+IF(#REF!=0,0,(#REF!-#REF!)/'13 Ekonomická analýza'!J16*1000000)</f>
        <v>#REF!</v>
      </c>
      <c r="J59" s="818" t="e">
        <f>(J7-J33)+IF(#REF!=0,0,(#REF!-#REF!)/'13 Ekonomická analýza'!K16*1000000)</f>
        <v>#REF!</v>
      </c>
      <c r="K59" s="818" t="e">
        <f>(K7-K33)+IF(#REF!=0,0,(#REF!-#REF!)/'13 Ekonomická analýza'!L16*1000000)</f>
        <v>#REF!</v>
      </c>
      <c r="L59" s="818" t="e">
        <f>(L7-L33)+IF(#REF!=0,0,(#REF!-#REF!)/'13 Ekonomická analýza'!M16*1000000)</f>
        <v>#REF!</v>
      </c>
      <c r="M59" s="818" t="e">
        <f>(M7-M33)+IF(#REF!=0,0,(#REF!-#REF!)/'13 Ekonomická analýza'!N16*1000000)</f>
        <v>#REF!</v>
      </c>
      <c r="N59" s="818" t="e">
        <f>(N7-N33)+IF(#REF!=0,0,(#REF!-#REF!)/'13 Ekonomická analýza'!O16*1000000)</f>
        <v>#REF!</v>
      </c>
      <c r="O59" s="818" t="e">
        <f>(O7-O33)+IF(#REF!=0,0,(#REF!-#REF!)/'13 Ekonomická analýza'!P16*1000000)</f>
        <v>#REF!</v>
      </c>
      <c r="P59" s="818" t="e">
        <f>(P7-P33)+IF(#REF!=0,0,(#REF!-#REF!)/'13 Ekonomická analýza'!Q16*1000000)</f>
        <v>#REF!</v>
      </c>
      <c r="Q59" s="818" t="e">
        <f>(Q7-Q33)+IF(#REF!=0,0,(#REF!-#REF!)/'13 Ekonomická analýza'!R16*1000000)</f>
        <v>#REF!</v>
      </c>
      <c r="R59" s="818" t="e">
        <f>(R7-R33)+IF(#REF!=0,0,(#REF!-#REF!)/'13 Ekonomická analýza'!S16*1000000)</f>
        <v>#REF!</v>
      </c>
      <c r="S59" s="819" t="e">
        <f>(S7-S33)+IF(#REF!=0,0,(#REF!-#REF!)/'13 Ekonomická analýza'!T16*1000000)</f>
        <v>#REF!</v>
      </c>
    </row>
    <row r="60" spans="1:20" ht="12.75" hidden="1" customHeight="1" x14ac:dyDescent="0.3">
      <c r="A60" s="108"/>
      <c r="B60" s="815"/>
      <c r="C60" s="658" t="e">
        <f>IF(PINFRA="SILNIČNÍ"," ",IF(SUM(#REF!)=0,IF('0 Úvod'!$M$10="English",Slovnik!D129,Slovnik!C129)," "))</f>
        <v>#REF!</v>
      </c>
      <c r="D60" s="838">
        <f t="shared" si="15"/>
        <v>0</v>
      </c>
      <c r="E60" s="887">
        <f t="shared" ref="E60:S60" si="19">E8-E34</f>
        <v>0</v>
      </c>
      <c r="F60" s="818">
        <f t="shared" si="19"/>
        <v>0</v>
      </c>
      <c r="G60" s="818">
        <f t="shared" si="19"/>
        <v>0</v>
      </c>
      <c r="H60" s="818">
        <f t="shared" si="19"/>
        <v>0</v>
      </c>
      <c r="I60" s="818">
        <f t="shared" si="19"/>
        <v>0</v>
      </c>
      <c r="J60" s="818">
        <f t="shared" si="19"/>
        <v>0</v>
      </c>
      <c r="K60" s="818">
        <f t="shared" si="19"/>
        <v>0</v>
      </c>
      <c r="L60" s="818">
        <f t="shared" si="19"/>
        <v>0</v>
      </c>
      <c r="M60" s="818">
        <f t="shared" si="19"/>
        <v>0</v>
      </c>
      <c r="N60" s="818">
        <f t="shared" si="19"/>
        <v>0</v>
      </c>
      <c r="O60" s="818">
        <f t="shared" si="19"/>
        <v>0</v>
      </c>
      <c r="P60" s="818">
        <f t="shared" si="19"/>
        <v>0</v>
      </c>
      <c r="Q60" s="818">
        <f t="shared" si="19"/>
        <v>0</v>
      </c>
      <c r="R60" s="818">
        <f t="shared" si="19"/>
        <v>0</v>
      </c>
      <c r="S60" s="819">
        <f t="shared" si="19"/>
        <v>0</v>
      </c>
    </row>
    <row r="61" spans="1:20" ht="12.75" hidden="1" customHeight="1" x14ac:dyDescent="0.3">
      <c r="A61" s="108"/>
      <c r="B61" s="815"/>
      <c r="C61" s="658" t="str">
        <f>IF('0 Úvod'!$M$10="English",Slovnik!D130,Slovnik!C130)</f>
        <v>Náklady na běžnou údržbu VODNÍ infrastruktury</v>
      </c>
      <c r="D61" s="838">
        <f t="shared" si="15"/>
        <v>0</v>
      </c>
      <c r="E61" s="887">
        <f t="shared" ref="E61:S61" si="20">E9-E35</f>
        <v>0</v>
      </c>
      <c r="F61" s="818">
        <f t="shared" si="20"/>
        <v>0</v>
      </c>
      <c r="G61" s="818">
        <f t="shared" si="20"/>
        <v>0</v>
      </c>
      <c r="H61" s="818">
        <f t="shared" si="20"/>
        <v>0</v>
      </c>
      <c r="I61" s="818">
        <f t="shared" si="20"/>
        <v>0</v>
      </c>
      <c r="J61" s="818">
        <f t="shared" si="20"/>
        <v>0</v>
      </c>
      <c r="K61" s="818">
        <f t="shared" si="20"/>
        <v>0</v>
      </c>
      <c r="L61" s="818">
        <f t="shared" si="20"/>
        <v>0</v>
      </c>
      <c r="M61" s="818">
        <f t="shared" si="20"/>
        <v>0</v>
      </c>
      <c r="N61" s="818">
        <f t="shared" si="20"/>
        <v>0</v>
      </c>
      <c r="O61" s="818">
        <f t="shared" si="20"/>
        <v>0</v>
      </c>
      <c r="P61" s="818">
        <f t="shared" si="20"/>
        <v>0</v>
      </c>
      <c r="Q61" s="818">
        <f t="shared" si="20"/>
        <v>0</v>
      </c>
      <c r="R61" s="818">
        <f t="shared" si="20"/>
        <v>0</v>
      </c>
      <c r="S61" s="819">
        <f t="shared" si="20"/>
        <v>0</v>
      </c>
    </row>
    <row r="62" spans="1:20" ht="12.75" hidden="1" customHeight="1" x14ac:dyDescent="0.3">
      <c r="A62" s="108"/>
      <c r="B62" s="815"/>
      <c r="C62" s="658" t="str">
        <f>IF('0 Úvod'!$M$10="English",Slovnik!D131,Slovnik!C131)</f>
        <v>Náklady na opravy VODNÍ infrastruktury</v>
      </c>
      <c r="D62" s="838">
        <f t="shared" si="15"/>
        <v>0</v>
      </c>
      <c r="E62" s="887">
        <f t="shared" ref="E62:S62" si="21">E10-E36</f>
        <v>0</v>
      </c>
      <c r="F62" s="818">
        <f t="shared" si="21"/>
        <v>0</v>
      </c>
      <c r="G62" s="818">
        <f t="shared" si="21"/>
        <v>0</v>
      </c>
      <c r="H62" s="818">
        <f t="shared" si="21"/>
        <v>0</v>
      </c>
      <c r="I62" s="818">
        <f t="shared" si="21"/>
        <v>0</v>
      </c>
      <c r="J62" s="818">
        <f t="shared" si="21"/>
        <v>0</v>
      </c>
      <c r="K62" s="818">
        <f t="shared" si="21"/>
        <v>0</v>
      </c>
      <c r="L62" s="818">
        <f t="shared" si="21"/>
        <v>0</v>
      </c>
      <c r="M62" s="818">
        <f t="shared" si="21"/>
        <v>0</v>
      </c>
      <c r="N62" s="818">
        <f t="shared" si="21"/>
        <v>0</v>
      </c>
      <c r="O62" s="818">
        <f t="shared" si="21"/>
        <v>0</v>
      </c>
      <c r="P62" s="818">
        <f t="shared" si="21"/>
        <v>0</v>
      </c>
      <c r="Q62" s="818">
        <f t="shared" si="21"/>
        <v>0</v>
      </c>
      <c r="R62" s="818">
        <f t="shared" si="21"/>
        <v>0</v>
      </c>
      <c r="S62" s="819">
        <f t="shared" si="21"/>
        <v>0</v>
      </c>
    </row>
    <row r="63" spans="1:20" ht="12.75" customHeight="1" x14ac:dyDescent="0.3">
      <c r="A63" s="108"/>
      <c r="B63" s="815"/>
      <c r="C63" s="658" t="str">
        <f>IF('0 Úvod'!$M$10="English",Slovnik!D731,Slovnik!C731)</f>
        <v>Náklady na běžnou údržbu infrastruktury</v>
      </c>
      <c r="D63" s="838">
        <f t="shared" ref="D63:D64" si="22">SUM(E63:S63,E76:S76)</f>
        <v>0</v>
      </c>
      <c r="E63" s="887">
        <f t="shared" ref="E63:S63" si="23">E11-E37</f>
        <v>0</v>
      </c>
      <c r="F63" s="818">
        <f t="shared" si="23"/>
        <v>0</v>
      </c>
      <c r="G63" s="818">
        <f t="shared" si="23"/>
        <v>0</v>
      </c>
      <c r="H63" s="818">
        <f t="shared" si="23"/>
        <v>0</v>
      </c>
      <c r="I63" s="818">
        <f t="shared" si="23"/>
        <v>0</v>
      </c>
      <c r="J63" s="818">
        <f t="shared" si="23"/>
        <v>0</v>
      </c>
      <c r="K63" s="818">
        <f t="shared" si="23"/>
        <v>0</v>
      </c>
      <c r="L63" s="818">
        <f t="shared" si="23"/>
        <v>0</v>
      </c>
      <c r="M63" s="818">
        <f t="shared" si="23"/>
        <v>0</v>
      </c>
      <c r="N63" s="818">
        <f t="shared" si="23"/>
        <v>0</v>
      </c>
      <c r="O63" s="818">
        <f t="shared" si="23"/>
        <v>0</v>
      </c>
      <c r="P63" s="818">
        <f t="shared" si="23"/>
        <v>0</v>
      </c>
      <c r="Q63" s="818">
        <f t="shared" si="23"/>
        <v>0</v>
      </c>
      <c r="R63" s="818">
        <f t="shared" si="23"/>
        <v>0</v>
      </c>
      <c r="S63" s="819">
        <f t="shared" si="23"/>
        <v>0</v>
      </c>
    </row>
    <row r="64" spans="1:20" ht="12.75" customHeight="1" x14ac:dyDescent="0.3">
      <c r="A64" s="108"/>
      <c r="B64" s="815"/>
      <c r="C64" s="658" t="str">
        <f>IF('0 Úvod'!$M$10="English",Slovnik!D732,Slovnik!C732)</f>
        <v>Náklady na opravy a reinvestice</v>
      </c>
      <c r="D64" s="838">
        <f t="shared" si="22"/>
        <v>0</v>
      </c>
      <c r="E64" s="887">
        <f t="shared" ref="E64:S64" si="24">E12-E38</f>
        <v>0</v>
      </c>
      <c r="F64" s="818">
        <f t="shared" si="24"/>
        <v>0</v>
      </c>
      <c r="G64" s="818">
        <f t="shared" si="24"/>
        <v>0</v>
      </c>
      <c r="H64" s="818">
        <f t="shared" si="24"/>
        <v>0</v>
      </c>
      <c r="I64" s="818">
        <f t="shared" si="24"/>
        <v>0</v>
      </c>
      <c r="J64" s="818">
        <f t="shared" si="24"/>
        <v>0</v>
      </c>
      <c r="K64" s="818">
        <f t="shared" si="24"/>
        <v>0</v>
      </c>
      <c r="L64" s="818">
        <f t="shared" si="24"/>
        <v>0</v>
      </c>
      <c r="M64" s="818">
        <f t="shared" si="24"/>
        <v>0</v>
      </c>
      <c r="N64" s="818">
        <f t="shared" si="24"/>
        <v>0</v>
      </c>
      <c r="O64" s="818">
        <f t="shared" si="24"/>
        <v>0</v>
      </c>
      <c r="P64" s="818">
        <f t="shared" si="24"/>
        <v>0</v>
      </c>
      <c r="Q64" s="818">
        <f t="shared" si="24"/>
        <v>0</v>
      </c>
      <c r="R64" s="818">
        <f t="shared" si="24"/>
        <v>0</v>
      </c>
      <c r="S64" s="819">
        <f t="shared" si="24"/>
        <v>0</v>
      </c>
    </row>
    <row r="65" spans="1:26" ht="15" thickBot="1" x14ac:dyDescent="0.35">
      <c r="B65" s="823"/>
      <c r="C65" s="824" t="str">
        <f>IF('0 Úvod'!$M$10="English",Slovnik!D136,Slovnik!C136)</f>
        <v>Přírůstkové celkové PN infrastruktury</v>
      </c>
      <c r="D65" s="888">
        <f t="shared" ref="D65" si="25">SUM(E65:S65,E78:S78)</f>
        <v>0</v>
      </c>
      <c r="E65" s="889">
        <f t="shared" ref="E65:S65" si="26">E13-E39</f>
        <v>0</v>
      </c>
      <c r="F65" s="890">
        <f t="shared" si="26"/>
        <v>0</v>
      </c>
      <c r="G65" s="890">
        <f t="shared" si="26"/>
        <v>0</v>
      </c>
      <c r="H65" s="890">
        <f t="shared" si="26"/>
        <v>0</v>
      </c>
      <c r="I65" s="890">
        <f t="shared" si="26"/>
        <v>0</v>
      </c>
      <c r="J65" s="890">
        <f t="shared" si="26"/>
        <v>0</v>
      </c>
      <c r="K65" s="890">
        <f t="shared" si="26"/>
        <v>0</v>
      </c>
      <c r="L65" s="890">
        <f t="shared" si="26"/>
        <v>0</v>
      </c>
      <c r="M65" s="890">
        <f t="shared" si="26"/>
        <v>0</v>
      </c>
      <c r="N65" s="890">
        <f t="shared" si="26"/>
        <v>0</v>
      </c>
      <c r="O65" s="890">
        <f t="shared" si="26"/>
        <v>0</v>
      </c>
      <c r="P65" s="890">
        <f t="shared" si="26"/>
        <v>0</v>
      </c>
      <c r="Q65" s="890">
        <f t="shared" si="26"/>
        <v>0</v>
      </c>
      <c r="R65" s="890">
        <f t="shared" si="26"/>
        <v>0</v>
      </c>
      <c r="S65" s="891">
        <f t="shared" si="26"/>
        <v>0</v>
      </c>
    </row>
    <row r="66" spans="1:26" ht="14.25" thickBot="1" x14ac:dyDescent="0.35">
      <c r="B66" s="827"/>
      <c r="C66" s="17"/>
      <c r="D66" s="846"/>
      <c r="E66" s="892"/>
      <c r="F66" s="892"/>
      <c r="G66" s="892"/>
      <c r="H66" s="892"/>
      <c r="I66" s="892"/>
      <c r="J66" s="892"/>
      <c r="K66" s="892"/>
      <c r="L66" s="892"/>
      <c r="M66" s="892"/>
      <c r="N66" s="892"/>
      <c r="O66" s="892"/>
      <c r="P66" s="892"/>
      <c r="Q66" s="892"/>
      <c r="R66" s="892"/>
      <c r="S66" s="892"/>
    </row>
    <row r="67" spans="1:26" ht="12.75" customHeight="1" x14ac:dyDescent="0.3">
      <c r="B67" s="806" t="str">
        <f>B54</f>
        <v>4.3.</v>
      </c>
      <c r="C67" s="807" t="str">
        <f>IF('0 Úvod'!$M$10="English",Slovnik!D135,Slovnik!C135)</f>
        <v>Přírůstkové celkové provozní náklady (CZK)</v>
      </c>
      <c r="D67" s="882"/>
      <c r="E67" s="1878">
        <f>S54+1</f>
        <v>2041</v>
      </c>
      <c r="F67" s="1850">
        <f t="shared" ref="F67:S67" si="27">E67+1</f>
        <v>2042</v>
      </c>
      <c r="G67" s="1850">
        <f t="shared" si="27"/>
        <v>2043</v>
      </c>
      <c r="H67" s="1850">
        <f t="shared" si="27"/>
        <v>2044</v>
      </c>
      <c r="I67" s="1850">
        <f t="shared" si="27"/>
        <v>2045</v>
      </c>
      <c r="J67" s="1850">
        <f t="shared" si="27"/>
        <v>2046</v>
      </c>
      <c r="K67" s="1850">
        <f t="shared" si="27"/>
        <v>2047</v>
      </c>
      <c r="L67" s="1850">
        <f t="shared" si="27"/>
        <v>2048</v>
      </c>
      <c r="M67" s="1850">
        <f t="shared" si="27"/>
        <v>2049</v>
      </c>
      <c r="N67" s="1850">
        <f t="shared" si="27"/>
        <v>2050</v>
      </c>
      <c r="O67" s="1850">
        <f t="shared" si="27"/>
        <v>2051</v>
      </c>
      <c r="P67" s="1850">
        <f t="shared" si="27"/>
        <v>2052</v>
      </c>
      <c r="Q67" s="1850">
        <f t="shared" si="27"/>
        <v>2053</v>
      </c>
      <c r="R67" s="1850">
        <f t="shared" si="27"/>
        <v>2054</v>
      </c>
      <c r="S67" s="1882">
        <f t="shared" si="27"/>
        <v>2055</v>
      </c>
    </row>
    <row r="68" spans="1:26" ht="12.75" customHeight="1" thickBot="1" x14ac:dyDescent="0.35">
      <c r="B68" s="883" t="s">
        <v>5</v>
      </c>
      <c r="C68" s="884"/>
      <c r="D68" s="893"/>
      <c r="E68" s="1905">
        <f>S55+1</f>
        <v>1</v>
      </c>
      <c r="F68" s="1904"/>
      <c r="G68" s="1904"/>
      <c r="H68" s="1904"/>
      <c r="I68" s="1904"/>
      <c r="J68" s="1904"/>
      <c r="K68" s="1904"/>
      <c r="L68" s="1904"/>
      <c r="M68" s="1904"/>
      <c r="N68" s="1904"/>
      <c r="O68" s="1904"/>
      <c r="P68" s="1904"/>
      <c r="Q68" s="1904"/>
      <c r="R68" s="1904"/>
      <c r="S68" s="1906"/>
    </row>
    <row r="69" spans="1:26" ht="12.75" hidden="1" customHeight="1" x14ac:dyDescent="0.3">
      <c r="A69" s="108"/>
      <c r="B69" s="851"/>
      <c r="C69" s="658" t="str">
        <f>IF('0 Úvod'!$M$10="English",Slovnik!D125,Slovnik!C125)</f>
        <v>Náklady na údržbu a opravy - ŽELEZNIČNÍ infrastruktura</v>
      </c>
      <c r="D69" s="850"/>
      <c r="E69" s="886">
        <f t="shared" ref="E69:S69" si="28">E17-E43</f>
        <v>0</v>
      </c>
      <c r="F69" s="813">
        <f t="shared" si="28"/>
        <v>0</v>
      </c>
      <c r="G69" s="813">
        <f t="shared" si="28"/>
        <v>0</v>
      </c>
      <c r="H69" s="813">
        <f t="shared" si="28"/>
        <v>0</v>
      </c>
      <c r="I69" s="813">
        <f t="shared" si="28"/>
        <v>0</v>
      </c>
      <c r="J69" s="813">
        <f t="shared" si="28"/>
        <v>0</v>
      </c>
      <c r="K69" s="813">
        <f t="shared" si="28"/>
        <v>0</v>
      </c>
      <c r="L69" s="813">
        <f t="shared" si="28"/>
        <v>0</v>
      </c>
      <c r="M69" s="813">
        <f t="shared" si="28"/>
        <v>0</v>
      </c>
      <c r="N69" s="813">
        <f t="shared" si="28"/>
        <v>0</v>
      </c>
      <c r="O69" s="813">
        <f t="shared" si="28"/>
        <v>0</v>
      </c>
      <c r="P69" s="813">
        <f t="shared" si="28"/>
        <v>0</v>
      </c>
      <c r="Q69" s="813">
        <f t="shared" si="28"/>
        <v>0</v>
      </c>
      <c r="R69" s="813">
        <f t="shared" si="28"/>
        <v>0</v>
      </c>
      <c r="S69" s="814">
        <f t="shared" si="28"/>
        <v>0</v>
      </c>
    </row>
    <row r="70" spans="1:26" ht="12.75" hidden="1" customHeight="1" x14ac:dyDescent="0.3">
      <c r="A70" s="108"/>
      <c r="B70" s="851"/>
      <c r="C70" s="655" t="str">
        <f>IF('0 Úvod'!$M$10="English",Slovnik!D126,Slovnik!C126)</f>
        <v>Reinvestice (obnova) - ŽELEZNIČNÍ infrastruktura</v>
      </c>
      <c r="D70" s="852"/>
      <c r="E70" s="887">
        <f t="shared" ref="E70:S70" si="29">E18-E44</f>
        <v>0</v>
      </c>
      <c r="F70" s="818">
        <f t="shared" si="29"/>
        <v>0</v>
      </c>
      <c r="G70" s="818">
        <f t="shared" si="29"/>
        <v>0</v>
      </c>
      <c r="H70" s="818">
        <f t="shared" si="29"/>
        <v>0</v>
      </c>
      <c r="I70" s="818">
        <f t="shared" si="29"/>
        <v>0</v>
      </c>
      <c r="J70" s="818">
        <f t="shared" si="29"/>
        <v>0</v>
      </c>
      <c r="K70" s="818">
        <f t="shared" si="29"/>
        <v>0</v>
      </c>
      <c r="L70" s="818">
        <f t="shared" si="29"/>
        <v>0</v>
      </c>
      <c r="M70" s="818">
        <f t="shared" si="29"/>
        <v>0</v>
      </c>
      <c r="N70" s="818">
        <f t="shared" si="29"/>
        <v>0</v>
      </c>
      <c r="O70" s="818">
        <f t="shared" si="29"/>
        <v>0</v>
      </c>
      <c r="P70" s="818">
        <f t="shared" si="29"/>
        <v>0</v>
      </c>
      <c r="Q70" s="818">
        <f t="shared" si="29"/>
        <v>0</v>
      </c>
      <c r="R70" s="818">
        <f t="shared" si="29"/>
        <v>0</v>
      </c>
      <c r="S70" s="819">
        <f t="shared" si="29"/>
        <v>0</v>
      </c>
      <c r="V70" s="139"/>
      <c r="W70" s="139"/>
      <c r="X70" s="139"/>
      <c r="Y70" s="139"/>
      <c r="Z70" s="139"/>
    </row>
    <row r="71" spans="1:26" ht="12.75" hidden="1" customHeight="1" x14ac:dyDescent="0.3">
      <c r="A71" s="108"/>
      <c r="B71" s="835"/>
      <c r="C71" s="658" t="str">
        <f>IF('0 Úvod'!$M$10="English",Slovnik!D127,Slovnik!C127)</f>
        <v>Náklady na řízení provozu - ŽELEZNIČNÍ doprava</v>
      </c>
      <c r="D71" s="852"/>
      <c r="E71" s="887">
        <f t="shared" ref="E71:S71" si="30">E19-E45</f>
        <v>0</v>
      </c>
      <c r="F71" s="818">
        <f t="shared" si="30"/>
        <v>0</v>
      </c>
      <c r="G71" s="818">
        <f t="shared" si="30"/>
        <v>0</v>
      </c>
      <c r="H71" s="818">
        <f t="shared" si="30"/>
        <v>0</v>
      </c>
      <c r="I71" s="818">
        <f t="shared" si="30"/>
        <v>0</v>
      </c>
      <c r="J71" s="818">
        <f t="shared" si="30"/>
        <v>0</v>
      </c>
      <c r="K71" s="818">
        <f t="shared" si="30"/>
        <v>0</v>
      </c>
      <c r="L71" s="818">
        <f t="shared" si="30"/>
        <v>0</v>
      </c>
      <c r="M71" s="818">
        <f t="shared" si="30"/>
        <v>0</v>
      </c>
      <c r="N71" s="818">
        <f t="shared" si="30"/>
        <v>0</v>
      </c>
      <c r="O71" s="818">
        <f t="shared" si="30"/>
        <v>0</v>
      </c>
      <c r="P71" s="818">
        <f t="shared" si="30"/>
        <v>0</v>
      </c>
      <c r="Q71" s="818">
        <f t="shared" si="30"/>
        <v>0</v>
      </c>
      <c r="R71" s="818">
        <f t="shared" si="30"/>
        <v>0</v>
      </c>
      <c r="S71" s="819">
        <f t="shared" si="30"/>
        <v>0</v>
      </c>
      <c r="V71" s="139"/>
      <c r="W71" s="140"/>
      <c r="X71" s="140"/>
      <c r="Y71" s="140"/>
      <c r="Z71" s="139"/>
    </row>
    <row r="72" spans="1:26" ht="12.75" hidden="1" customHeight="1" x14ac:dyDescent="0.3">
      <c r="A72" s="108"/>
      <c r="B72" s="835"/>
      <c r="C72" s="658" t="e">
        <f>IF(PINFRA="SILNIČNÍ",IF('0 Úvod'!$M$10="English",Slovnik!D764,Slovnik!C764),IF(SUM(#REF!)=0,IF('0 Úvod'!$M$10="English",Slovnik!D128,Slovnik!C128),IF('0 Úvod'!$M$10="English",Slovnik!D764,Slovnik!C764)))</f>
        <v>#REF!</v>
      </c>
      <c r="D72" s="852"/>
      <c r="E72" s="887" t="e">
        <f>(E20-E46)+IF(#REF!=0,0,(#REF!-#REF!)/'13 Ekonomická analýza'!F33*1000000)</f>
        <v>#REF!</v>
      </c>
      <c r="F72" s="818" t="e">
        <f>(F20-F46)+IF(#REF!=0,0,(#REF!-#REF!)/'13 Ekonomická analýza'!G33*1000000)</f>
        <v>#REF!</v>
      </c>
      <c r="G72" s="818" t="e">
        <f>(G20-G46)+IF(#REF!=0,0,(#REF!-#REF!)/'13 Ekonomická analýza'!H33*1000000)</f>
        <v>#REF!</v>
      </c>
      <c r="H72" s="818" t="e">
        <f>(H20-H46)+IF(#REF!=0,0,(#REF!-#REF!)/'13 Ekonomická analýza'!I33*1000000)</f>
        <v>#REF!</v>
      </c>
      <c r="I72" s="818" t="e">
        <f>(I20-I46)+IF(#REF!=0,0,(#REF!-#REF!)/'13 Ekonomická analýza'!J33*1000000)</f>
        <v>#REF!</v>
      </c>
      <c r="J72" s="818" t="e">
        <f>(J20-J46)+IF(#REF!=0,0,(#REF!-#REF!)/'13 Ekonomická analýza'!K33*1000000)</f>
        <v>#REF!</v>
      </c>
      <c r="K72" s="818" t="e">
        <f>(K20-K46)+IF(#REF!=0,0,(#REF!-#REF!)/'13 Ekonomická analýza'!L33*1000000)</f>
        <v>#REF!</v>
      </c>
      <c r="L72" s="818" t="e">
        <f>(L20-L46)+IF(#REF!=0,0,(#REF!-#REF!)/'13 Ekonomická analýza'!M33*1000000)</f>
        <v>#REF!</v>
      </c>
      <c r="M72" s="818" t="e">
        <f>(M20-M46)+IF(#REF!=0,0,(#REF!-#REF!)/'13 Ekonomická analýza'!N33*1000000)</f>
        <v>#REF!</v>
      </c>
      <c r="N72" s="818" t="e">
        <f>(N20-N46)+IF(#REF!=0,0,(#REF!-#REF!)/'13 Ekonomická analýza'!O33*1000000)</f>
        <v>#REF!</v>
      </c>
      <c r="O72" s="818" t="e">
        <f>(O20-O46)+IF(#REF!=0,0,(#REF!-#REF!)/'13 Ekonomická analýza'!P33*1000000)</f>
        <v>#REF!</v>
      </c>
      <c r="P72" s="818" t="e">
        <f>(P20-P46)+IF(#REF!=0,0,(#REF!-#REF!)/'13 Ekonomická analýza'!Q33*1000000)</f>
        <v>#REF!</v>
      </c>
      <c r="Q72" s="818" t="e">
        <f>(Q20-Q46)+IF(#REF!=0,0,(#REF!-#REF!)/'13 Ekonomická analýza'!R33*1000000)</f>
        <v>#REF!</v>
      </c>
      <c r="R72" s="818" t="e">
        <f>(R20-R46)+IF(#REF!=0,0,(#REF!-#REF!)/'13 Ekonomická analýza'!S33*1000000)</f>
        <v>#REF!</v>
      </c>
      <c r="S72" s="819" t="e">
        <f>(S20-S46)+IF(#REF!=0,0,(#REF!-#REF!)/'13 Ekonomická analýza'!T33*1000000)</f>
        <v>#REF!</v>
      </c>
      <c r="V72" s="139"/>
      <c r="W72" s="140"/>
      <c r="X72" s="140"/>
      <c r="Y72" s="140"/>
      <c r="Z72" s="139"/>
    </row>
    <row r="73" spans="1:26" ht="12.75" hidden="1" customHeight="1" x14ac:dyDescent="0.3">
      <c r="A73" s="108"/>
      <c r="B73" s="835"/>
      <c r="C73" s="658" t="e">
        <f>IF(PINFRA="SILNIČNÍ"," ",IF(SUM(#REF!)=0,IF('0 Úvod'!$M$10="English",Slovnik!D129,Slovnik!C129)," "))</f>
        <v>#REF!</v>
      </c>
      <c r="D73" s="852"/>
      <c r="E73" s="887">
        <f t="shared" ref="E73:S73" si="31">E21-E47</f>
        <v>0</v>
      </c>
      <c r="F73" s="818">
        <f t="shared" si="31"/>
        <v>0</v>
      </c>
      <c r="G73" s="818">
        <f t="shared" si="31"/>
        <v>0</v>
      </c>
      <c r="H73" s="818">
        <f t="shared" si="31"/>
        <v>0</v>
      </c>
      <c r="I73" s="818">
        <f t="shared" si="31"/>
        <v>0</v>
      </c>
      <c r="J73" s="818">
        <f t="shared" si="31"/>
        <v>0</v>
      </c>
      <c r="K73" s="818">
        <f t="shared" si="31"/>
        <v>0</v>
      </c>
      <c r="L73" s="818">
        <f t="shared" si="31"/>
        <v>0</v>
      </c>
      <c r="M73" s="818">
        <f t="shared" si="31"/>
        <v>0</v>
      </c>
      <c r="N73" s="818">
        <f t="shared" si="31"/>
        <v>0</v>
      </c>
      <c r="O73" s="818">
        <f t="shared" si="31"/>
        <v>0</v>
      </c>
      <c r="P73" s="818">
        <f t="shared" si="31"/>
        <v>0</v>
      </c>
      <c r="Q73" s="818">
        <f t="shared" si="31"/>
        <v>0</v>
      </c>
      <c r="R73" s="818">
        <f t="shared" si="31"/>
        <v>0</v>
      </c>
      <c r="S73" s="819">
        <f t="shared" si="31"/>
        <v>0</v>
      </c>
      <c r="V73" s="139"/>
      <c r="W73" s="140"/>
      <c r="X73" s="140"/>
      <c r="Y73" s="140"/>
      <c r="Z73" s="139"/>
    </row>
    <row r="74" spans="1:26" ht="12.75" hidden="1" customHeight="1" x14ac:dyDescent="0.3">
      <c r="A74" s="108"/>
      <c r="B74" s="894"/>
      <c r="C74" s="658" t="str">
        <f>IF('0 Úvod'!$M$10="English",Slovnik!D130,Slovnik!C130)</f>
        <v>Náklady na běžnou údržbu VODNÍ infrastruktury</v>
      </c>
      <c r="D74" s="854"/>
      <c r="E74" s="887">
        <f t="shared" ref="E74:S74" si="32">E22-E48</f>
        <v>0</v>
      </c>
      <c r="F74" s="818">
        <f t="shared" si="32"/>
        <v>0</v>
      </c>
      <c r="G74" s="818">
        <f t="shared" si="32"/>
        <v>0</v>
      </c>
      <c r="H74" s="818">
        <f t="shared" si="32"/>
        <v>0</v>
      </c>
      <c r="I74" s="818">
        <f t="shared" si="32"/>
        <v>0</v>
      </c>
      <c r="J74" s="818">
        <f t="shared" si="32"/>
        <v>0</v>
      </c>
      <c r="K74" s="818">
        <f t="shared" si="32"/>
        <v>0</v>
      </c>
      <c r="L74" s="818">
        <f t="shared" si="32"/>
        <v>0</v>
      </c>
      <c r="M74" s="818">
        <f t="shared" si="32"/>
        <v>0</v>
      </c>
      <c r="N74" s="818">
        <f t="shared" si="32"/>
        <v>0</v>
      </c>
      <c r="O74" s="818">
        <f t="shared" si="32"/>
        <v>0</v>
      </c>
      <c r="P74" s="818">
        <f t="shared" si="32"/>
        <v>0</v>
      </c>
      <c r="Q74" s="818">
        <f t="shared" si="32"/>
        <v>0</v>
      </c>
      <c r="R74" s="818">
        <f t="shared" si="32"/>
        <v>0</v>
      </c>
      <c r="S74" s="819">
        <f t="shared" si="32"/>
        <v>0</v>
      </c>
      <c r="V74" s="139"/>
      <c r="W74" s="140"/>
      <c r="X74" s="140"/>
      <c r="Y74" s="140"/>
      <c r="Z74" s="139"/>
    </row>
    <row r="75" spans="1:26" ht="12.75" hidden="1" customHeight="1" x14ac:dyDescent="0.3">
      <c r="A75" s="108"/>
      <c r="B75" s="894"/>
      <c r="C75" s="658" t="str">
        <f>IF('0 Úvod'!$M$10="English",Slovnik!D131,Slovnik!C131)</f>
        <v>Náklady na opravy VODNÍ infrastruktury</v>
      </c>
      <c r="D75" s="854"/>
      <c r="E75" s="887">
        <f t="shared" ref="E75:S75" si="33">E23-E49</f>
        <v>0</v>
      </c>
      <c r="F75" s="818">
        <f t="shared" si="33"/>
        <v>0</v>
      </c>
      <c r="G75" s="818">
        <f t="shared" si="33"/>
        <v>0</v>
      </c>
      <c r="H75" s="818">
        <f t="shared" si="33"/>
        <v>0</v>
      </c>
      <c r="I75" s="818">
        <f t="shared" si="33"/>
        <v>0</v>
      </c>
      <c r="J75" s="818">
        <f t="shared" si="33"/>
        <v>0</v>
      </c>
      <c r="K75" s="818">
        <f t="shared" si="33"/>
        <v>0</v>
      </c>
      <c r="L75" s="818">
        <f t="shared" si="33"/>
        <v>0</v>
      </c>
      <c r="M75" s="818">
        <f t="shared" si="33"/>
        <v>0</v>
      </c>
      <c r="N75" s="818">
        <f t="shared" si="33"/>
        <v>0</v>
      </c>
      <c r="O75" s="818">
        <f t="shared" si="33"/>
        <v>0</v>
      </c>
      <c r="P75" s="818">
        <f t="shared" si="33"/>
        <v>0</v>
      </c>
      <c r="Q75" s="818">
        <f t="shared" si="33"/>
        <v>0</v>
      </c>
      <c r="R75" s="818">
        <f t="shared" si="33"/>
        <v>0</v>
      </c>
      <c r="S75" s="819">
        <f t="shared" si="33"/>
        <v>0</v>
      </c>
      <c r="V75" s="139"/>
      <c r="W75" s="140"/>
      <c r="X75" s="140"/>
      <c r="Y75" s="140"/>
      <c r="Z75" s="139"/>
    </row>
    <row r="76" spans="1:26" ht="12.75" customHeight="1" x14ac:dyDescent="0.3">
      <c r="A76" s="108"/>
      <c r="B76" s="894"/>
      <c r="C76" s="658" t="str">
        <f>IF('0 Úvod'!$M$10="English",Slovnik!D731,Slovnik!C731)</f>
        <v>Náklady na běžnou údržbu infrastruktury</v>
      </c>
      <c r="D76" s="854"/>
      <c r="E76" s="887">
        <f t="shared" ref="E76:S76" si="34">E24-E50</f>
        <v>0</v>
      </c>
      <c r="F76" s="818">
        <f t="shared" si="34"/>
        <v>0</v>
      </c>
      <c r="G76" s="818">
        <f t="shared" si="34"/>
        <v>0</v>
      </c>
      <c r="H76" s="818">
        <f t="shared" si="34"/>
        <v>0</v>
      </c>
      <c r="I76" s="818">
        <f t="shared" si="34"/>
        <v>0</v>
      </c>
      <c r="J76" s="818">
        <f t="shared" si="34"/>
        <v>0</v>
      </c>
      <c r="K76" s="818">
        <f t="shared" si="34"/>
        <v>0</v>
      </c>
      <c r="L76" s="818">
        <f t="shared" si="34"/>
        <v>0</v>
      </c>
      <c r="M76" s="818">
        <f t="shared" si="34"/>
        <v>0</v>
      </c>
      <c r="N76" s="818">
        <f t="shared" si="34"/>
        <v>0</v>
      </c>
      <c r="O76" s="818">
        <f t="shared" si="34"/>
        <v>0</v>
      </c>
      <c r="P76" s="818">
        <f t="shared" si="34"/>
        <v>0</v>
      </c>
      <c r="Q76" s="818">
        <f t="shared" si="34"/>
        <v>0</v>
      </c>
      <c r="R76" s="818">
        <f t="shared" si="34"/>
        <v>0</v>
      </c>
      <c r="S76" s="819">
        <f t="shared" si="34"/>
        <v>0</v>
      </c>
      <c r="V76" s="139"/>
      <c r="W76" s="140"/>
      <c r="X76" s="140"/>
      <c r="Y76" s="140"/>
      <c r="Z76" s="139"/>
    </row>
    <row r="77" spans="1:26" ht="12.75" customHeight="1" x14ac:dyDescent="0.3">
      <c r="A77" s="108"/>
      <c r="B77" s="895"/>
      <c r="C77" s="856" t="str">
        <f>IF('0 Úvod'!$M$10="English",Slovnik!D732,Slovnik!C732)</f>
        <v>Náklady na opravy a reinvestice</v>
      </c>
      <c r="D77" s="857"/>
      <c r="E77" s="896">
        <f t="shared" ref="E77:S77" si="35">E25-E51</f>
        <v>0</v>
      </c>
      <c r="F77" s="821">
        <f t="shared" si="35"/>
        <v>0</v>
      </c>
      <c r="G77" s="821">
        <f t="shared" si="35"/>
        <v>0</v>
      </c>
      <c r="H77" s="821">
        <f t="shared" si="35"/>
        <v>0</v>
      </c>
      <c r="I77" s="821">
        <f t="shared" si="35"/>
        <v>0</v>
      </c>
      <c r="J77" s="821">
        <f t="shared" si="35"/>
        <v>0</v>
      </c>
      <c r="K77" s="821">
        <f t="shared" si="35"/>
        <v>0</v>
      </c>
      <c r="L77" s="821">
        <f t="shared" si="35"/>
        <v>0</v>
      </c>
      <c r="M77" s="821">
        <f t="shared" si="35"/>
        <v>0</v>
      </c>
      <c r="N77" s="821">
        <f t="shared" si="35"/>
        <v>0</v>
      </c>
      <c r="O77" s="821">
        <f t="shared" si="35"/>
        <v>0</v>
      </c>
      <c r="P77" s="821">
        <f t="shared" si="35"/>
        <v>0</v>
      </c>
      <c r="Q77" s="821">
        <f t="shared" si="35"/>
        <v>0</v>
      </c>
      <c r="R77" s="821">
        <f t="shared" si="35"/>
        <v>0</v>
      </c>
      <c r="S77" s="822">
        <f t="shared" si="35"/>
        <v>0</v>
      </c>
      <c r="V77" s="139"/>
      <c r="W77" s="140"/>
      <c r="X77" s="140"/>
      <c r="Y77" s="140"/>
      <c r="Z77" s="139"/>
    </row>
    <row r="78" spans="1:26" ht="15" thickBot="1" x14ac:dyDescent="0.35">
      <c r="B78" s="897"/>
      <c r="C78" s="898" t="str">
        <f>IF('0 Úvod'!$M$10="English",Slovnik!D136,Slovnik!C136)</f>
        <v>Přírůstkové celkové PN infrastruktury</v>
      </c>
      <c r="D78" s="899"/>
      <c r="E78" s="900">
        <f t="shared" ref="E78:S78" si="36">E26-E52</f>
        <v>0</v>
      </c>
      <c r="F78" s="825">
        <f t="shared" si="36"/>
        <v>0</v>
      </c>
      <c r="G78" s="825">
        <f t="shared" si="36"/>
        <v>0</v>
      </c>
      <c r="H78" s="825">
        <f t="shared" si="36"/>
        <v>0</v>
      </c>
      <c r="I78" s="825">
        <f t="shared" si="36"/>
        <v>0</v>
      </c>
      <c r="J78" s="825">
        <f t="shared" si="36"/>
        <v>0</v>
      </c>
      <c r="K78" s="825">
        <f t="shared" si="36"/>
        <v>0</v>
      </c>
      <c r="L78" s="825">
        <f t="shared" si="36"/>
        <v>0</v>
      </c>
      <c r="M78" s="825">
        <f t="shared" si="36"/>
        <v>0</v>
      </c>
      <c r="N78" s="825">
        <f t="shared" si="36"/>
        <v>0</v>
      </c>
      <c r="O78" s="825">
        <f t="shared" si="36"/>
        <v>0</v>
      </c>
      <c r="P78" s="825">
        <f t="shared" si="36"/>
        <v>0</v>
      </c>
      <c r="Q78" s="825">
        <f t="shared" si="36"/>
        <v>0</v>
      </c>
      <c r="R78" s="825">
        <f t="shared" si="36"/>
        <v>0</v>
      </c>
      <c r="S78" s="826">
        <f t="shared" si="36"/>
        <v>0</v>
      </c>
      <c r="V78" s="141"/>
      <c r="W78" s="139"/>
      <c r="X78" s="139"/>
      <c r="Y78" s="139"/>
      <c r="Z78" s="139"/>
    </row>
    <row r="79" spans="1:26" ht="15" thickBot="1" x14ac:dyDescent="0.35">
      <c r="B79" s="901"/>
      <c r="C79" s="902"/>
      <c r="D79" s="903"/>
      <c r="E79" s="881"/>
      <c r="F79" s="881"/>
      <c r="G79" s="881"/>
      <c r="H79" s="881"/>
      <c r="I79" s="881"/>
      <c r="J79" s="881"/>
      <c r="K79" s="881"/>
      <c r="L79" s="881"/>
      <c r="M79" s="881"/>
      <c r="N79" s="881"/>
      <c r="O79" s="881"/>
      <c r="P79" s="881"/>
      <c r="Q79" s="881"/>
      <c r="R79" s="881"/>
      <c r="S79" s="881"/>
      <c r="V79" s="141"/>
      <c r="W79" s="139"/>
      <c r="X79" s="139"/>
      <c r="Y79" s="139"/>
      <c r="Z79" s="139"/>
    </row>
    <row r="80" spans="1:26" ht="14.25" x14ac:dyDescent="0.3">
      <c r="B80" s="904"/>
      <c r="C80" s="905" t="str">
        <f>IF('0 Úvod'!$M$10="English",Slovnik!D137,Slovnik!C137)</f>
        <v>Scénář s projektem (CZK)</v>
      </c>
      <c r="D80" s="906">
        <f>D13</f>
        <v>0</v>
      </c>
      <c r="E80" s="17"/>
      <c r="F80" s="17"/>
      <c r="G80" s="17"/>
      <c r="H80" s="846"/>
      <c r="I80" s="846"/>
      <c r="J80" s="846"/>
      <c r="K80" s="846"/>
      <c r="L80" s="846"/>
      <c r="M80" s="846"/>
      <c r="N80" s="846"/>
      <c r="O80" s="846"/>
      <c r="P80" s="17"/>
      <c r="Q80" s="17"/>
      <c r="R80" s="17"/>
      <c r="S80" s="17"/>
      <c r="U80" s="139"/>
      <c r="V80" s="140"/>
      <c r="W80" s="140"/>
      <c r="X80" s="140"/>
      <c r="Y80" s="139"/>
    </row>
    <row r="81" spans="2:29" ht="14.25" x14ac:dyDescent="0.3">
      <c r="B81" s="907"/>
      <c r="C81" s="908" t="str">
        <f>IF('0 Úvod'!$M$10="English",Slovnik!D138,Slovnik!C138)</f>
        <v>Scénář bez projektu (CZK)</v>
      </c>
      <c r="D81" s="909">
        <f>D39</f>
        <v>0</v>
      </c>
      <c r="E81" s="17"/>
      <c r="F81" s="17"/>
      <c r="G81" s="17"/>
      <c r="H81" s="17"/>
      <c r="I81" s="17"/>
      <c r="J81" s="17"/>
      <c r="K81" s="17"/>
      <c r="L81" s="17"/>
      <c r="M81" s="17"/>
      <c r="N81" s="17"/>
      <c r="O81" s="17"/>
      <c r="P81" s="17"/>
      <c r="Q81" s="17"/>
      <c r="R81" s="17"/>
      <c r="S81" s="17"/>
      <c r="U81" s="141"/>
      <c r="V81" s="139"/>
      <c r="W81" s="139"/>
      <c r="X81" s="139"/>
      <c r="Y81" s="139"/>
    </row>
    <row r="82" spans="2:29" ht="15" thickBot="1" x14ac:dyDescent="0.35">
      <c r="B82" s="910"/>
      <c r="C82" s="911" t="str">
        <f>IF('0 Úvod'!$M$10="English",Slovnik!D139,Slovnik!C139)</f>
        <v>Přírůstkové cash-flow (CZK)</v>
      </c>
      <c r="D82" s="912">
        <f>D65</f>
        <v>0</v>
      </c>
      <c r="E82" s="846"/>
      <c r="F82" s="17"/>
      <c r="G82" s="17"/>
      <c r="H82" s="17"/>
      <c r="I82" s="17"/>
      <c r="J82" s="17"/>
      <c r="K82" s="17"/>
      <c r="L82" s="17"/>
      <c r="M82" s="17"/>
      <c r="N82" s="17"/>
      <c r="O82" s="17"/>
      <c r="P82" s="17"/>
      <c r="Q82" s="17"/>
      <c r="R82" s="17"/>
      <c r="S82" s="17"/>
      <c r="U82" s="141"/>
      <c r="V82" s="139"/>
      <c r="W82" s="139"/>
      <c r="X82" s="139"/>
      <c r="Y82" s="139"/>
    </row>
    <row r="83" spans="2:29" x14ac:dyDescent="0.3">
      <c r="B83" s="17"/>
      <c r="C83" s="17"/>
      <c r="D83" s="17"/>
      <c r="E83" s="17"/>
      <c r="F83" s="17"/>
      <c r="G83" s="17"/>
      <c r="H83" s="17"/>
      <c r="I83" s="17"/>
      <c r="J83" s="17"/>
      <c r="K83" s="17"/>
      <c r="L83" s="17"/>
      <c r="M83" s="17"/>
      <c r="N83" s="17"/>
      <c r="O83" s="17"/>
      <c r="P83" s="17"/>
      <c r="Q83" s="17"/>
      <c r="R83" s="17"/>
      <c r="S83" s="17"/>
      <c r="U83" s="139"/>
      <c r="V83" s="139"/>
      <c r="W83" s="139"/>
      <c r="X83" s="139"/>
      <c r="Y83" s="139"/>
    </row>
    <row r="84" spans="2:29" ht="15" hidden="1" thickBot="1" x14ac:dyDescent="0.35">
      <c r="C84" s="142"/>
      <c r="D84" s="143"/>
      <c r="E84" s="144"/>
      <c r="F84" s="145"/>
      <c r="G84" s="145"/>
      <c r="H84" s="146"/>
      <c r="I84" s="147"/>
      <c r="U84" s="139"/>
      <c r="V84" s="140"/>
      <c r="W84" s="140"/>
      <c r="X84" s="140"/>
      <c r="Y84" s="139"/>
    </row>
    <row r="85" spans="2:29" ht="40.5" hidden="1" x14ac:dyDescent="0.3">
      <c r="B85" s="1899" t="s">
        <v>16</v>
      </c>
      <c r="C85" s="148" t="str">
        <f>IF('0 Úvod'!$M$10="English",Slovnik!D140,Slovnik!C140)</f>
        <v>Náklady na řízení provozu - železniční doprava</v>
      </c>
      <c r="D85" s="149" t="str">
        <f>IF('0 Úvod'!$M$10="English",Slovnik!$D$156,Slovnik!$C$156)</f>
        <v>mzdové náklady za rok práce</v>
      </c>
      <c r="E85" s="150" t="str">
        <f>IF('0 Úvod'!$M$10="English",Slovnik!$D$157,Slovnik!$C$157)</f>
        <v>základní náklady za rok práce</v>
      </c>
      <c r="F85" s="151"/>
      <c r="G85" s="151"/>
      <c r="H85" s="151"/>
      <c r="I85" s="139"/>
      <c r="J85" s="139"/>
      <c r="K85" s="139"/>
      <c r="L85" s="139"/>
      <c r="M85" s="139"/>
      <c r="N85" s="139"/>
      <c r="O85" s="139"/>
      <c r="P85" s="139"/>
      <c r="Q85" s="139"/>
      <c r="R85" s="139"/>
      <c r="S85" s="139"/>
      <c r="T85" s="224"/>
      <c r="U85" s="141"/>
      <c r="V85" s="139"/>
      <c r="W85" s="139"/>
      <c r="X85" s="139"/>
      <c r="Y85" s="139"/>
      <c r="Z85" s="224"/>
      <c r="AA85" s="224"/>
      <c r="AB85" s="224"/>
      <c r="AC85" s="224"/>
    </row>
    <row r="86" spans="2:29" ht="14.25" hidden="1" x14ac:dyDescent="0.3">
      <c r="B86" s="1900"/>
      <c r="C86" s="514" t="str">
        <f>IF('0 Úvod'!$M$10="English",Slovnik!D141,Slovnik!C141)</f>
        <v>CÚ</v>
      </c>
      <c r="D86" s="515">
        <v>2017</v>
      </c>
      <c r="E86" s="516">
        <v>2017</v>
      </c>
      <c r="F86" s="151"/>
      <c r="G86" s="151"/>
      <c r="H86" s="151"/>
      <c r="I86" s="139"/>
      <c r="J86" s="139"/>
      <c r="K86" s="139"/>
      <c r="L86" s="139"/>
      <c r="M86" s="139"/>
      <c r="N86" s="139"/>
      <c r="O86" s="139"/>
      <c r="P86" s="139"/>
      <c r="Q86" s="139"/>
      <c r="R86" s="139"/>
      <c r="S86" s="139"/>
      <c r="T86" s="224"/>
      <c r="U86" s="141"/>
      <c r="V86" s="139"/>
      <c r="W86" s="139"/>
      <c r="X86" s="139"/>
      <c r="Y86" s="139"/>
      <c r="Z86" s="224"/>
      <c r="AA86" s="224"/>
      <c r="AB86" s="224"/>
      <c r="AC86" s="224"/>
    </row>
    <row r="87" spans="2:29" ht="15" hidden="1" thickBot="1" x14ac:dyDescent="0.35">
      <c r="B87" s="1901"/>
      <c r="C87" s="517" t="str">
        <f>IF('0 Úvod'!$M$10="English",Slovnik!D142,Slovnik!C142)</f>
        <v>Měrné ohodnocení</v>
      </c>
      <c r="D87" s="152" t="str">
        <f>IF('0 Úvod'!$M$10="English",Slovnik!$D$158,Slovnik!$C$158)</f>
        <v>CZK/rok</v>
      </c>
      <c r="E87" s="153" t="str">
        <f>IF('0 Úvod'!$M$10="English",Slovnik!$D$158,Slovnik!$C$158)</f>
        <v>CZK/rok</v>
      </c>
      <c r="F87" s="154"/>
      <c r="G87" s="154"/>
      <c r="H87" s="154"/>
      <c r="I87" s="139"/>
      <c r="J87" s="139"/>
      <c r="K87" s="139"/>
      <c r="L87" s="140"/>
      <c r="M87" s="140"/>
      <c r="N87" s="140"/>
      <c r="O87" s="139"/>
      <c r="P87" s="139"/>
      <c r="Q87" s="139"/>
      <c r="R87" s="139"/>
      <c r="S87" s="139"/>
      <c r="T87" s="224"/>
      <c r="U87" s="139"/>
      <c r="V87" s="139"/>
      <c r="W87" s="139"/>
      <c r="X87" s="139"/>
      <c r="Y87" s="139"/>
      <c r="Z87" s="224"/>
      <c r="AA87" s="224"/>
      <c r="AB87" s="224"/>
      <c r="AC87" s="224"/>
    </row>
    <row r="88" spans="2:29" ht="14.25" hidden="1" x14ac:dyDescent="0.3">
      <c r="B88" s="201"/>
      <c r="C88" s="200" t="str">
        <f>IF('0 Úvod'!$M$10="English",Slovnik!D143,Slovnik!C143)</f>
        <v>Dozorčí provozu</v>
      </c>
      <c r="D88" s="198">
        <v>633929</v>
      </c>
      <c r="E88" s="199">
        <v>473081</v>
      </c>
      <c r="F88" s="155"/>
      <c r="G88" s="155"/>
      <c r="H88" s="155"/>
      <c r="I88" s="139"/>
      <c r="J88" s="141"/>
      <c r="K88" s="141"/>
      <c r="L88" s="139"/>
      <c r="M88" s="139"/>
      <c r="N88" s="139"/>
      <c r="O88" s="139"/>
      <c r="P88" s="139"/>
      <c r="Q88" s="139"/>
      <c r="R88" s="139"/>
      <c r="S88" s="139"/>
      <c r="T88" s="224"/>
      <c r="U88" s="139"/>
      <c r="V88" s="140"/>
      <c r="W88" s="140"/>
      <c r="X88" s="140"/>
      <c r="Y88" s="139"/>
      <c r="Z88" s="224"/>
      <c r="AA88" s="224"/>
      <c r="AB88" s="224"/>
      <c r="AC88" s="224"/>
    </row>
    <row r="89" spans="2:29" ht="14.25" hidden="1" x14ac:dyDescent="0.3">
      <c r="B89" s="202"/>
      <c r="C89" s="200" t="str">
        <f>IF('0 Úvod'!$M$10="English",Slovnik!D144,Slovnik!C144)</f>
        <v>Výpravčí</v>
      </c>
      <c r="D89" s="198">
        <v>551605</v>
      </c>
      <c r="E89" s="199">
        <v>411646</v>
      </c>
      <c r="F89" s="155"/>
      <c r="G89" s="157"/>
      <c r="H89" s="155"/>
      <c r="I89" s="139"/>
      <c r="J89" s="141"/>
      <c r="K89" s="141"/>
      <c r="L89" s="139"/>
      <c r="M89" s="139"/>
      <c r="N89" s="139"/>
      <c r="O89" s="139"/>
      <c r="P89" s="139"/>
      <c r="Q89" s="139"/>
      <c r="R89" s="139"/>
      <c r="S89" s="139"/>
      <c r="T89" s="224"/>
      <c r="U89" s="141"/>
      <c r="V89" s="139"/>
      <c r="W89" s="139"/>
      <c r="X89" s="139"/>
      <c r="Y89" s="139"/>
      <c r="Z89" s="224"/>
      <c r="AA89" s="224"/>
      <c r="AB89" s="224"/>
      <c r="AC89" s="224"/>
    </row>
    <row r="90" spans="2:29" ht="14.25" hidden="1" x14ac:dyDescent="0.3">
      <c r="B90" s="202"/>
      <c r="C90" s="200" t="str">
        <f>IF('0 Úvod'!$M$10="English",Slovnik!D145,Slovnik!C145)</f>
        <v>Dozorčí provozu – vedoucí směny</v>
      </c>
      <c r="D90" s="198">
        <v>632734</v>
      </c>
      <c r="E90" s="199">
        <v>472190</v>
      </c>
      <c r="F90" s="155"/>
      <c r="G90" s="155"/>
      <c r="H90" s="155"/>
      <c r="I90" s="139"/>
      <c r="J90" s="141"/>
      <c r="K90" s="141"/>
      <c r="L90" s="139"/>
      <c r="M90" s="139"/>
      <c r="N90" s="139"/>
      <c r="O90" s="139"/>
      <c r="P90" s="139"/>
      <c r="Q90" s="139"/>
      <c r="R90" s="139"/>
      <c r="S90" s="139"/>
      <c r="T90" s="139"/>
      <c r="U90" s="141"/>
      <c r="V90" s="139"/>
      <c r="W90" s="139"/>
      <c r="X90" s="139"/>
      <c r="Y90" s="139"/>
      <c r="Z90" s="224"/>
      <c r="AA90" s="224"/>
      <c r="AB90" s="224"/>
      <c r="AC90" s="224"/>
    </row>
    <row r="91" spans="2:29" ht="14.25" hidden="1" x14ac:dyDescent="0.3">
      <c r="B91" s="202"/>
      <c r="C91" s="200" t="str">
        <f>IF('0 Úvod'!$M$10="English",Slovnik!D146,Slovnik!C146)</f>
        <v>Operátor železniční dopravy</v>
      </c>
      <c r="D91" s="198">
        <v>385381</v>
      </c>
      <c r="E91" s="199">
        <v>287598</v>
      </c>
      <c r="F91" s="155"/>
      <c r="G91" s="156"/>
      <c r="H91" s="157"/>
      <c r="I91" s="158"/>
      <c r="J91" s="159"/>
      <c r="K91" s="141"/>
      <c r="L91" s="139"/>
      <c r="M91" s="139"/>
      <c r="N91" s="139"/>
      <c r="O91" s="139"/>
      <c r="P91" s="139"/>
      <c r="Q91" s="139"/>
      <c r="R91" s="139"/>
      <c r="S91" s="139"/>
      <c r="T91" s="139"/>
      <c r="U91" s="139"/>
      <c r="V91" s="139"/>
      <c r="W91" s="139"/>
      <c r="X91" s="139"/>
      <c r="Y91" s="139"/>
      <c r="Z91" s="224"/>
      <c r="AA91" s="224"/>
      <c r="AB91" s="224"/>
      <c r="AC91" s="224"/>
    </row>
    <row r="92" spans="2:29" ht="14.25" hidden="1" x14ac:dyDescent="0.3">
      <c r="B92" s="202"/>
      <c r="C92" s="200" t="str">
        <f>IF('0 Úvod'!$M$10="English",Slovnik!D147,Slovnik!C147)</f>
        <v>Signalista</v>
      </c>
      <c r="D92" s="198">
        <v>420424</v>
      </c>
      <c r="E92" s="199">
        <v>313749</v>
      </c>
      <c r="F92" s="155"/>
      <c r="G92" s="155"/>
      <c r="H92" s="155"/>
      <c r="I92" s="160"/>
      <c r="J92" s="141"/>
      <c r="K92" s="141"/>
      <c r="L92" s="139"/>
      <c r="M92" s="139"/>
      <c r="N92" s="139"/>
      <c r="O92" s="139"/>
      <c r="P92" s="139"/>
      <c r="Q92" s="139"/>
      <c r="R92" s="139"/>
      <c r="S92" s="139"/>
      <c r="T92" s="224"/>
      <c r="U92" s="139"/>
      <c r="V92" s="140"/>
      <c r="W92" s="140"/>
      <c r="X92" s="140"/>
      <c r="Y92" s="139"/>
      <c r="Z92" s="224"/>
      <c r="AA92" s="224"/>
      <c r="AB92" s="224"/>
      <c r="AC92" s="224"/>
    </row>
    <row r="93" spans="2:29" ht="14.25" hidden="1" x14ac:dyDescent="0.3">
      <c r="B93" s="202"/>
      <c r="C93" s="200" t="str">
        <f>IF('0 Úvod'!$M$10="English",Slovnik!D148,Slovnik!C148)</f>
        <v>Výhybkář</v>
      </c>
      <c r="D93" s="198">
        <v>330186</v>
      </c>
      <c r="E93" s="199">
        <v>246408</v>
      </c>
      <c r="F93" s="155"/>
      <c r="G93" s="161"/>
      <c r="H93" s="155"/>
      <c r="I93" s="139"/>
      <c r="J93" s="141"/>
      <c r="K93" s="141"/>
      <c r="L93" s="139"/>
      <c r="M93" s="139"/>
      <c r="N93" s="139"/>
      <c r="O93" s="139"/>
      <c r="P93" s="139"/>
      <c r="Q93" s="139"/>
      <c r="R93" s="139"/>
      <c r="S93" s="139"/>
      <c r="T93" s="139"/>
      <c r="U93" s="141"/>
      <c r="V93" s="139"/>
      <c r="W93" s="139"/>
      <c r="X93" s="139"/>
      <c r="Y93" s="139"/>
      <c r="Z93" s="224"/>
      <c r="AA93" s="224"/>
      <c r="AB93" s="224"/>
      <c r="AC93" s="224"/>
    </row>
    <row r="94" spans="2:29" ht="15" hidden="1" customHeight="1" x14ac:dyDescent="0.3">
      <c r="B94" s="202"/>
      <c r="C94" s="200" t="str">
        <f>IF('0 Úvod'!$M$10="English",Slovnik!D149,Slovnik!C149)</f>
        <v>Staniční dozorce</v>
      </c>
      <c r="D94" s="198">
        <v>379222</v>
      </c>
      <c r="E94" s="199">
        <v>283002</v>
      </c>
      <c r="F94" s="155"/>
      <c r="G94" s="155"/>
      <c r="H94" s="155"/>
      <c r="I94" s="139"/>
      <c r="J94" s="141"/>
      <c r="K94" s="141"/>
      <c r="L94" s="139"/>
      <c r="M94" s="139"/>
      <c r="N94" s="139"/>
      <c r="O94" s="139"/>
      <c r="P94" s="139"/>
      <c r="Q94" s="139"/>
      <c r="R94" s="139"/>
      <c r="S94" s="139"/>
      <c r="T94" s="224"/>
      <c r="U94" s="141"/>
      <c r="V94" s="139"/>
      <c r="W94" s="139"/>
      <c r="X94" s="139"/>
      <c r="Y94" s="139"/>
      <c r="Z94" s="224"/>
      <c r="AA94" s="224"/>
      <c r="AB94" s="224"/>
      <c r="AC94" s="224"/>
    </row>
    <row r="95" spans="2:29" ht="14.25" hidden="1" x14ac:dyDescent="0.3">
      <c r="B95" s="202"/>
      <c r="C95" s="200" t="str">
        <f>IF('0 Úvod'!$M$10="English",Slovnik!D150,Slovnik!C150)</f>
        <v>Dozorce výhybek</v>
      </c>
      <c r="D95" s="198">
        <v>363250</v>
      </c>
      <c r="E95" s="199">
        <v>271082</v>
      </c>
      <c r="F95" s="155"/>
      <c r="G95" s="155"/>
      <c r="H95" s="155"/>
      <c r="I95" s="139"/>
      <c r="J95" s="141"/>
      <c r="K95" s="141"/>
      <c r="L95" s="139"/>
      <c r="M95" s="139"/>
      <c r="N95" s="139"/>
      <c r="O95" s="139"/>
      <c r="P95" s="139"/>
      <c r="Q95" s="139"/>
      <c r="R95" s="139"/>
      <c r="S95" s="139"/>
      <c r="T95" s="224"/>
      <c r="U95" s="224"/>
      <c r="V95" s="432"/>
      <c r="W95" s="18"/>
      <c r="X95" s="18"/>
      <c r="Y95" s="224"/>
      <c r="Z95" s="224"/>
      <c r="AA95" s="224"/>
      <c r="AB95" s="224"/>
      <c r="AC95" s="224"/>
    </row>
    <row r="96" spans="2:29" ht="14.25" hidden="1" x14ac:dyDescent="0.3">
      <c r="B96" s="202"/>
      <c r="C96" s="200" t="str">
        <f>IF('0 Úvod'!$M$10="English",Slovnik!D151,Slovnik!C151)</f>
        <v>Závorář</v>
      </c>
      <c r="D96" s="198">
        <v>319619</v>
      </c>
      <c r="E96" s="199">
        <v>238521</v>
      </c>
      <c r="F96" s="155"/>
      <c r="G96" s="155"/>
      <c r="H96" s="155"/>
      <c r="I96" s="139"/>
      <c r="J96" s="141"/>
      <c r="K96" s="440"/>
      <c r="L96" s="139"/>
      <c r="M96" s="139"/>
      <c r="N96" s="139"/>
      <c r="O96" s="139"/>
      <c r="P96" s="139"/>
      <c r="Q96" s="139"/>
      <c r="R96" s="139"/>
      <c r="S96" s="139"/>
      <c r="T96" s="224"/>
      <c r="U96" s="224"/>
      <c r="V96" s="224"/>
      <c r="W96" s="224"/>
      <c r="X96" s="224"/>
      <c r="Y96" s="224"/>
      <c r="Z96" s="224"/>
      <c r="AA96" s="224"/>
      <c r="AB96" s="224"/>
      <c r="AC96" s="224"/>
    </row>
    <row r="97" spans="2:29" ht="14.25" hidden="1" x14ac:dyDescent="0.3">
      <c r="B97" s="202"/>
      <c r="C97" s="200" t="str">
        <f>IF('0 Úvod'!$M$10="English",Slovnik!D152,Slovnik!C152)</f>
        <v>Závorář s prodejem jízdenek</v>
      </c>
      <c r="D97" s="198">
        <v>325785</v>
      </c>
      <c r="E97" s="199">
        <v>243124</v>
      </c>
      <c r="F97" s="155"/>
      <c r="G97" s="155"/>
      <c r="H97" s="155"/>
      <c r="I97" s="139"/>
      <c r="J97" s="141"/>
      <c r="K97" s="440"/>
      <c r="L97" s="139"/>
      <c r="M97" s="139"/>
      <c r="N97" s="139"/>
      <c r="O97" s="139"/>
      <c r="P97" s="139"/>
      <c r="Q97" s="139"/>
      <c r="R97" s="139"/>
      <c r="S97" s="139"/>
      <c r="T97" s="224"/>
      <c r="U97" s="224"/>
      <c r="V97" s="224"/>
      <c r="W97" s="224"/>
      <c r="X97" s="224"/>
      <c r="Y97" s="224"/>
      <c r="Z97" s="224"/>
      <c r="AA97" s="224"/>
      <c r="AB97" s="224"/>
      <c r="AC97" s="224"/>
    </row>
    <row r="98" spans="2:29" ht="14.25" hidden="1" x14ac:dyDescent="0.3">
      <c r="B98" s="202"/>
      <c r="C98" s="200" t="str">
        <f>IF('0 Úvod'!$M$10="English",Slovnik!D153,Slovnik!C153)</f>
        <v>Hradlář – hláskař</v>
      </c>
      <c r="D98" s="198">
        <v>348207</v>
      </c>
      <c r="E98" s="199">
        <v>259856</v>
      </c>
      <c r="F98" s="155"/>
      <c r="G98" s="155"/>
      <c r="H98" s="155"/>
      <c r="I98" s="139"/>
      <c r="J98" s="141"/>
      <c r="K98" s="141"/>
      <c r="L98" s="139"/>
      <c r="M98" s="139"/>
      <c r="N98" s="139"/>
      <c r="O98" s="139"/>
      <c r="P98" s="139"/>
      <c r="Q98" s="139"/>
      <c r="R98" s="139"/>
      <c r="S98" s="139"/>
      <c r="T98" s="224"/>
      <c r="U98" s="224"/>
      <c r="V98" s="224"/>
      <c r="W98" s="224"/>
      <c r="X98" s="224"/>
      <c r="Y98" s="224"/>
      <c r="Z98" s="224"/>
      <c r="AA98" s="224"/>
      <c r="AB98" s="224"/>
      <c r="AC98" s="224"/>
    </row>
    <row r="99" spans="2:29" ht="14.25" hidden="1" x14ac:dyDescent="0.3">
      <c r="B99" s="202"/>
      <c r="C99" s="200" t="str">
        <f>IF('0 Úvod'!$M$10="English",Slovnik!D154,Slovnik!C154)</f>
        <v>Hradlář – hláskař s prodejem jízdenek</v>
      </c>
      <c r="D99" s="198">
        <v>342015</v>
      </c>
      <c r="E99" s="199">
        <v>255235</v>
      </c>
      <c r="F99" s="155"/>
      <c r="G99" s="155"/>
      <c r="H99" s="155"/>
      <c r="I99" s="139"/>
      <c r="J99" s="141"/>
      <c r="K99" s="141"/>
      <c r="L99" s="139"/>
      <c r="M99" s="139"/>
      <c r="N99" s="139"/>
      <c r="O99" s="139"/>
      <c r="P99" s="139"/>
      <c r="Q99" s="139"/>
      <c r="R99" s="139"/>
      <c r="S99" s="139"/>
      <c r="T99" s="224"/>
      <c r="U99" s="224"/>
      <c r="V99" s="224"/>
      <c r="W99" s="224"/>
      <c r="X99" s="224"/>
      <c r="Y99" s="224"/>
      <c r="Z99" s="224"/>
      <c r="AA99" s="224"/>
      <c r="AB99" s="224"/>
      <c r="AC99" s="224"/>
    </row>
    <row r="100" spans="2:29" ht="15" hidden="1" thickBot="1" x14ac:dyDescent="0.35">
      <c r="B100" s="518"/>
      <c r="C100" s="519" t="str">
        <f>IF('0 Úvod'!$M$10="English",Slovnik!D155,Slovnik!C155)</f>
        <v>Dělník v dopravě – staniční dělník</v>
      </c>
      <c r="D100" s="520">
        <v>223567</v>
      </c>
      <c r="E100" s="521">
        <v>166841</v>
      </c>
      <c r="F100" s="155"/>
      <c r="G100" s="155"/>
      <c r="H100" s="155"/>
      <c r="I100" s="139"/>
      <c r="J100" s="141"/>
      <c r="K100" s="141"/>
      <c r="L100" s="139"/>
      <c r="M100" s="139"/>
      <c r="N100" s="139"/>
      <c r="O100" s="139"/>
      <c r="P100" s="139"/>
      <c r="Q100" s="139"/>
      <c r="R100" s="139"/>
      <c r="S100" s="139"/>
      <c r="T100" s="224"/>
      <c r="U100" s="224"/>
      <c r="V100" s="224"/>
      <c r="W100" s="224"/>
      <c r="X100" s="224"/>
      <c r="Y100" s="224"/>
      <c r="Z100" s="224"/>
      <c r="AA100" s="224"/>
      <c r="AB100" s="224"/>
      <c r="AC100" s="224"/>
    </row>
    <row r="101" spans="2:29" ht="15" hidden="1" thickBot="1" x14ac:dyDescent="0.35">
      <c r="B101" s="162"/>
      <c r="C101" s="139"/>
      <c r="D101" s="139"/>
      <c r="E101" s="139"/>
      <c r="F101" s="139"/>
      <c r="G101" s="139"/>
      <c r="H101" s="139"/>
      <c r="I101" s="139"/>
      <c r="J101" s="139"/>
      <c r="K101" s="139"/>
      <c r="L101" s="139"/>
      <c r="M101" s="139"/>
      <c r="N101" s="139"/>
      <c r="O101" s="139"/>
      <c r="P101" s="139"/>
      <c r="Q101" s="139"/>
      <c r="R101" s="139"/>
      <c r="S101" s="139"/>
      <c r="T101" s="224"/>
      <c r="U101" s="224"/>
      <c r="V101" s="224"/>
      <c r="W101" s="224"/>
      <c r="X101" s="224"/>
      <c r="Y101" s="224"/>
      <c r="Z101" s="224"/>
      <c r="AA101" s="224"/>
      <c r="AB101" s="224"/>
      <c r="AC101" s="224"/>
    </row>
    <row r="102" spans="2:29" ht="14.25" hidden="1" x14ac:dyDescent="0.3">
      <c r="B102" s="185" t="s">
        <v>17</v>
      </c>
      <c r="C102" s="186" t="str">
        <f>IF('0 Úvod'!$M$10="English",Slovnik!$D$159,Slovnik!$C$159)</f>
        <v>Růst nákladů na řízení provozu</v>
      </c>
      <c r="D102" s="187"/>
      <c r="E102" s="1895">
        <f t="shared" ref="E102:S102" si="37">E54</f>
        <v>2026</v>
      </c>
      <c r="F102" s="1897">
        <f t="shared" si="37"/>
        <v>2027</v>
      </c>
      <c r="G102" s="1897">
        <f t="shared" si="37"/>
        <v>2028</v>
      </c>
      <c r="H102" s="1897">
        <f t="shared" si="37"/>
        <v>2029</v>
      </c>
      <c r="I102" s="1897">
        <f t="shared" si="37"/>
        <v>2030</v>
      </c>
      <c r="J102" s="1897">
        <f t="shared" si="37"/>
        <v>2031</v>
      </c>
      <c r="K102" s="1897">
        <f t="shared" si="37"/>
        <v>2032</v>
      </c>
      <c r="L102" s="1897">
        <f t="shared" si="37"/>
        <v>2033</v>
      </c>
      <c r="M102" s="1897">
        <f t="shared" si="37"/>
        <v>2034</v>
      </c>
      <c r="N102" s="1897">
        <f t="shared" si="37"/>
        <v>2035</v>
      </c>
      <c r="O102" s="1897">
        <f t="shared" si="37"/>
        <v>2036</v>
      </c>
      <c r="P102" s="1897">
        <f t="shared" si="37"/>
        <v>2037</v>
      </c>
      <c r="Q102" s="1897">
        <f t="shared" si="37"/>
        <v>2038</v>
      </c>
      <c r="R102" s="1897">
        <f t="shared" si="37"/>
        <v>2039</v>
      </c>
      <c r="S102" s="1913">
        <f t="shared" si="37"/>
        <v>2040</v>
      </c>
      <c r="T102" s="224"/>
      <c r="U102" s="224"/>
      <c r="V102" s="224"/>
      <c r="W102" s="224"/>
      <c r="X102" s="224"/>
      <c r="Y102" s="224"/>
      <c r="Z102" s="224"/>
      <c r="AA102" s="224"/>
      <c r="AB102" s="224"/>
      <c r="AC102" s="224"/>
    </row>
    <row r="103" spans="2:29" ht="15" hidden="1" thickBot="1" x14ac:dyDescent="0.35">
      <c r="B103" s="188" t="s">
        <v>4</v>
      </c>
      <c r="C103" s="522"/>
      <c r="D103" s="189" t="str">
        <f>IF('0 Úvod'!$M$10="English",Slovnik!$D$160,Slovnik!$C$160)</f>
        <v>Elasticita</v>
      </c>
      <c r="E103" s="1896"/>
      <c r="F103" s="1898"/>
      <c r="G103" s="1898"/>
      <c r="H103" s="1898"/>
      <c r="I103" s="1898"/>
      <c r="J103" s="1898"/>
      <c r="K103" s="1898"/>
      <c r="L103" s="1898"/>
      <c r="M103" s="1898"/>
      <c r="N103" s="1898"/>
      <c r="O103" s="1898"/>
      <c r="P103" s="1898"/>
      <c r="Q103" s="1898"/>
      <c r="R103" s="1898"/>
      <c r="S103" s="1914"/>
      <c r="T103" s="224"/>
      <c r="U103" s="224"/>
      <c r="V103" s="224"/>
      <c r="W103" s="224"/>
      <c r="X103" s="224"/>
      <c r="Y103" s="224"/>
      <c r="Z103" s="224"/>
      <c r="AA103" s="224"/>
      <c r="AB103" s="224"/>
      <c r="AC103" s="224"/>
    </row>
    <row r="104" spans="2:29" ht="14.25" hidden="1" x14ac:dyDescent="0.3">
      <c r="B104" s="203"/>
      <c r="C104" s="204" t="str">
        <f>IF('0 Úvod'!$M$10="English",Slovnik!$D$163,Slovnik!$C$163)</f>
        <v>Růst reálné mzdy v dopravě</v>
      </c>
      <c r="D104" s="163">
        <v>1</v>
      </c>
      <c r="E104" s="207">
        <v>0</v>
      </c>
      <c r="F104" s="208">
        <f>$D$104*IFERROR(HLOOKUP(F$102,'0 Úvod'!$D$65:$N$67,2,FALSE),0.0185)</f>
        <v>1.8499999999999999E-2</v>
      </c>
      <c r="G104" s="208">
        <f>$D$104*IFERROR(HLOOKUP(G$102,'0 Úvod'!$D$65:$N$67,2,FALSE),0.0185)</f>
        <v>1.8499999999999999E-2</v>
      </c>
      <c r="H104" s="208">
        <f>$D$104*IFERROR(HLOOKUP(H$102,'0 Úvod'!$D$65:$N$67,2,FALSE),0.0185)</f>
        <v>1.8499999999999999E-2</v>
      </c>
      <c r="I104" s="208">
        <f>$D$104*IFERROR(HLOOKUP(I$102,'0 Úvod'!$D$65:$N$67,2,FALSE),0.0185)</f>
        <v>1.8499999999999999E-2</v>
      </c>
      <c r="J104" s="208">
        <f>$D$104*IFERROR(HLOOKUP(J$102,'0 Úvod'!$D$65:$N$67,2,FALSE),0.0185)</f>
        <v>1.8499999999999999E-2</v>
      </c>
      <c r="K104" s="208">
        <f>$D$104*IFERROR(HLOOKUP(K$102,'0 Úvod'!$D$65:$N$67,2,FALSE),0.0185)</f>
        <v>1.8499999999999999E-2</v>
      </c>
      <c r="L104" s="208">
        <f>$D$104*IFERROR(HLOOKUP(L$102,'0 Úvod'!$D$65:$N$67,2,FALSE),0.0185)</f>
        <v>1.8499999999999999E-2</v>
      </c>
      <c r="M104" s="208">
        <f>$D$104*IFERROR(HLOOKUP(M$102,'0 Úvod'!$D$65:$N$67,2,FALSE),0.0185)</f>
        <v>1.8499999999999999E-2</v>
      </c>
      <c r="N104" s="208">
        <f>$D$104*IFERROR(HLOOKUP(N$102,'0 Úvod'!$D$65:$N$67,2,FALSE),0.0185)</f>
        <v>1.8499999999999999E-2</v>
      </c>
      <c r="O104" s="208">
        <f>$D$104*IFERROR(HLOOKUP(O$102,'0 Úvod'!$D$65:$N$67,2,FALSE),0.0185)</f>
        <v>1.8499999999999999E-2</v>
      </c>
      <c r="P104" s="208">
        <f>$D$104*IFERROR(HLOOKUP(P$102,'0 Úvod'!$D$65:$N$67,2,FALSE),0.0185)</f>
        <v>1.8499999999999999E-2</v>
      </c>
      <c r="Q104" s="208">
        <f>$D$104*IFERROR(HLOOKUP(Q$102,'0 Úvod'!$D$65:$N$67,2,FALSE),0.0185)</f>
        <v>1.8499999999999999E-2</v>
      </c>
      <c r="R104" s="208">
        <f>$D$104*IFERROR(HLOOKUP(R$102,'0 Úvod'!$D$65:$N$67,2,FALSE),0.0185)</f>
        <v>1.8499999999999999E-2</v>
      </c>
      <c r="S104" s="209">
        <f>$D$104*IFERROR(HLOOKUP(S$102,'0 Úvod'!$D$65:$N$67,2,FALSE),0.0185)</f>
        <v>1.8499999999999999E-2</v>
      </c>
      <c r="T104" s="224"/>
      <c r="U104" s="224"/>
      <c r="V104" s="224"/>
      <c r="W104" s="224"/>
      <c r="X104" s="224"/>
      <c r="Y104" s="224"/>
      <c r="Z104" s="224"/>
      <c r="AA104" s="224"/>
      <c r="AB104" s="224"/>
      <c r="AC104" s="224"/>
    </row>
    <row r="105" spans="2:29" ht="14.25" hidden="1" x14ac:dyDescent="0.3">
      <c r="B105" s="523"/>
      <c r="C105" s="524" t="str">
        <f>IF('0 Úvod'!$M$10="English",Slovnik!D143,Slovnik!C143)</f>
        <v>Dozorčí provozu</v>
      </c>
      <c r="D105" s="525"/>
      <c r="E105" s="526">
        <f>IFERROR(D88*IF('0 Úvod'!$D$18&gt;HLOOKUP('0 Úvod'!$D$18,'0 Úvod'!$K$40:$N$42,1,TRUE),'0 Úvod'!$N$42*(1+0.0249)^('0 Úvod'!$D$18-'0 Úvod'!$N$40),HLOOKUP('0 Úvod'!$D$18,'0 Úvod'!$K$40:$N$42,3,TRUE))*IF($E$102&gt;HLOOKUP($E$102,'0 Úvod'!$K$65:$N$67,1,TRUE),'0 Úvod'!$N$67*(1+0.0185)^($E$102-'0 Úvod'!$N$65),HLOOKUP($E$102,'0 Úvod'!$K$65:$N$67,3,TRUE)),0)</f>
        <v>1001693.0220605184</v>
      </c>
      <c r="F105" s="527">
        <f>E105*(1+F$104)</f>
        <v>1020224.3429686379</v>
      </c>
      <c r="G105" s="527">
        <f t="shared" ref="G105:S105" si="38">F105*(1+G$104)</f>
        <v>1039098.4933135577</v>
      </c>
      <c r="H105" s="527">
        <f t="shared" si="38"/>
        <v>1058321.8154398585</v>
      </c>
      <c r="I105" s="527">
        <f t="shared" si="38"/>
        <v>1077900.7690254957</v>
      </c>
      <c r="J105" s="527">
        <f t="shared" si="38"/>
        <v>1097841.9332524673</v>
      </c>
      <c r="K105" s="527">
        <f t="shared" si="38"/>
        <v>1118152.0090176379</v>
      </c>
      <c r="L105" s="527">
        <f t="shared" si="38"/>
        <v>1138837.8211844643</v>
      </c>
      <c r="M105" s="527">
        <f t="shared" si="38"/>
        <v>1159906.3208763767</v>
      </c>
      <c r="N105" s="527">
        <f t="shared" si="38"/>
        <v>1181364.5878125897</v>
      </c>
      <c r="O105" s="527">
        <f t="shared" si="38"/>
        <v>1203219.8326871225</v>
      </c>
      <c r="P105" s="527">
        <f t="shared" si="38"/>
        <v>1225479.3995918343</v>
      </c>
      <c r="Q105" s="527">
        <f t="shared" si="38"/>
        <v>1248150.7684842832</v>
      </c>
      <c r="R105" s="527">
        <f t="shared" si="38"/>
        <v>1271241.5577012424</v>
      </c>
      <c r="S105" s="528">
        <f t="shared" si="38"/>
        <v>1294759.5265187153</v>
      </c>
      <c r="T105" s="224"/>
      <c r="U105" s="224"/>
      <c r="V105" s="224"/>
      <c r="W105" s="224"/>
      <c r="X105" s="224"/>
      <c r="Y105" s="224"/>
      <c r="Z105" s="224"/>
      <c r="AA105" s="224"/>
      <c r="AB105" s="224"/>
      <c r="AC105" s="224"/>
    </row>
    <row r="106" spans="2:29" ht="14.25" hidden="1" x14ac:dyDescent="0.3">
      <c r="B106" s="202"/>
      <c r="C106" s="205" t="str">
        <f>IF('0 Úvod'!$M$10="English",Slovnik!D144,Slovnik!C144)</f>
        <v>Výpravčí</v>
      </c>
      <c r="D106" s="206"/>
      <c r="E106" s="210">
        <f>IFERROR(D89*IF('0 Úvod'!$D$18&gt;HLOOKUP('0 Úvod'!$D$18,'0 Úvod'!$K$40:$N$42,1,TRUE),'0 Úvod'!$N$42*(1+0.0249)^('0 Úvod'!$D$18-'0 Úvod'!$N$40),HLOOKUP('0 Úvod'!$D$18,'0 Úvod'!$K$40:$N$42,3,TRUE))*IF($E$102&gt;HLOOKUP($E$102,'0 Úvod'!$K$65:$N$67,1,TRUE),'0 Úvod'!$N$67*(1+0.0185)^($E$102-'0 Úvod'!$N$65),HLOOKUP($E$102,'0 Úvod'!$K$65:$N$67,3,TRUE)),0)</f>
        <v>871610.03745481314</v>
      </c>
      <c r="F106" s="211">
        <f t="shared" ref="F106:F117" si="39">E106*(1+F$104)</f>
        <v>887734.82314772718</v>
      </c>
      <c r="G106" s="211">
        <f t="shared" ref="G106:S106" si="40">F106*(1+G$104)</f>
        <v>904157.91737596004</v>
      </c>
      <c r="H106" s="211">
        <f t="shared" si="40"/>
        <v>920884.83884741529</v>
      </c>
      <c r="I106" s="211">
        <f t="shared" si="40"/>
        <v>937921.20836609241</v>
      </c>
      <c r="J106" s="211">
        <f t="shared" si="40"/>
        <v>955272.75072086509</v>
      </c>
      <c r="K106" s="211">
        <f t="shared" si="40"/>
        <v>972945.296609201</v>
      </c>
      <c r="L106" s="211">
        <f t="shared" si="40"/>
        <v>990944.78459647123</v>
      </c>
      <c r="M106" s="211">
        <f t="shared" si="40"/>
        <v>1009277.2631115059</v>
      </c>
      <c r="N106" s="211">
        <f t="shared" si="40"/>
        <v>1027948.8924790687</v>
      </c>
      <c r="O106" s="211">
        <f t="shared" si="40"/>
        <v>1046965.9469899314</v>
      </c>
      <c r="P106" s="211">
        <f t="shared" si="40"/>
        <v>1066334.817009245</v>
      </c>
      <c r="Q106" s="211">
        <f t="shared" si="40"/>
        <v>1086062.0111239161</v>
      </c>
      <c r="R106" s="211">
        <f t="shared" si="40"/>
        <v>1106154.1583297085</v>
      </c>
      <c r="S106" s="212">
        <f t="shared" si="40"/>
        <v>1126618.010258808</v>
      </c>
      <c r="T106" s="224"/>
      <c r="U106" s="224"/>
      <c r="V106" s="224"/>
      <c r="W106" s="224"/>
      <c r="X106" s="224"/>
      <c r="Y106" s="224"/>
      <c r="Z106" s="224"/>
      <c r="AA106" s="224"/>
      <c r="AB106" s="224"/>
      <c r="AC106" s="224"/>
    </row>
    <row r="107" spans="2:29" ht="14.25" hidden="1" x14ac:dyDescent="0.3">
      <c r="B107" s="202"/>
      <c r="C107" s="205" t="str">
        <f>IF('0 Úvod'!$M$10="English",Slovnik!D145,Slovnik!C145)</f>
        <v>Dozorčí provozu – vedoucí směny</v>
      </c>
      <c r="D107" s="206"/>
      <c r="E107" s="210">
        <f>IFERROR(D90*IF('0 Úvod'!$D$18&gt;HLOOKUP('0 Úvod'!$D$18,'0 Úvod'!$K$40:$N$42,1,TRUE),'0 Úvod'!$N$42*(1+0.0249)^('0 Úvod'!$D$18-'0 Úvod'!$N$40),HLOOKUP('0 Úvod'!$D$18,'0 Úvod'!$K$40:$N$42,3,TRUE))*IF($E$102&gt;HLOOKUP($E$102,'0 Úvod'!$K$65:$N$67,1,TRUE),'0 Úvod'!$N$67*(1+0.0185)^($E$102-'0 Úvod'!$N$65),HLOOKUP($E$102,'0 Úvod'!$K$65:$N$67,3,TRUE)),0)</f>
        <v>999804.76144874271</v>
      </c>
      <c r="F107" s="211">
        <f t="shared" si="39"/>
        <v>1018301.1495355444</v>
      </c>
      <c r="G107" s="211">
        <f t="shared" ref="G107:S107" si="41">F107*(1+G$104)</f>
        <v>1037139.7208019519</v>
      </c>
      <c r="H107" s="211">
        <f t="shared" si="41"/>
        <v>1056326.805636788</v>
      </c>
      <c r="I107" s="211">
        <f t="shared" si="41"/>
        <v>1075868.8515410686</v>
      </c>
      <c r="J107" s="211">
        <f t="shared" si="41"/>
        <v>1095772.4252945783</v>
      </c>
      <c r="K107" s="211">
        <f t="shared" si="41"/>
        <v>1116044.215162528</v>
      </c>
      <c r="L107" s="211">
        <f t="shared" si="41"/>
        <v>1136691.0331430347</v>
      </c>
      <c r="M107" s="211">
        <f t="shared" si="41"/>
        <v>1157719.8172561808</v>
      </c>
      <c r="N107" s="211">
        <f t="shared" si="41"/>
        <v>1179137.6338754201</v>
      </c>
      <c r="O107" s="211">
        <f t="shared" si="41"/>
        <v>1200951.6801021153</v>
      </c>
      <c r="P107" s="211">
        <f t="shared" si="41"/>
        <v>1223169.2861840043</v>
      </c>
      <c r="Q107" s="211">
        <f t="shared" si="41"/>
        <v>1245797.9179784083</v>
      </c>
      <c r="R107" s="211">
        <f t="shared" si="41"/>
        <v>1268845.1794610089</v>
      </c>
      <c r="S107" s="212">
        <f t="shared" si="41"/>
        <v>1292318.8152810375</v>
      </c>
      <c r="T107" s="224"/>
      <c r="U107" s="224"/>
      <c r="V107" s="224"/>
      <c r="W107" s="224"/>
      <c r="X107" s="224"/>
      <c r="Y107" s="224"/>
      <c r="Z107" s="224"/>
      <c r="AA107" s="224"/>
      <c r="AB107" s="224"/>
      <c r="AC107" s="224"/>
    </row>
    <row r="108" spans="2:29" ht="14.25" hidden="1" x14ac:dyDescent="0.3">
      <c r="B108" s="202"/>
      <c r="C108" s="205" t="str">
        <f>IF('0 Úvod'!$M$10="English",Slovnik!D146,Slovnik!C146)</f>
        <v>Operátor železniční dopravy</v>
      </c>
      <c r="D108" s="206"/>
      <c r="E108" s="210">
        <f>IFERROR(D91*IF('0 Úvod'!$D$18&gt;HLOOKUP('0 Úvod'!$D$18,'0 Úvod'!$K$40:$N$42,1,TRUE),'0 Úvod'!$N$42*(1+0.0249)^('0 Úvod'!$D$18-'0 Úvod'!$N$40),HLOOKUP('0 Úvod'!$D$18,'0 Úvod'!$K$40:$N$42,3,TRUE))*IF($E$102&gt;HLOOKUP($E$102,'0 Úvod'!$K$65:$N$67,1,TRUE),'0 Úvod'!$N$67*(1+0.0185)^($E$102-'0 Úvod'!$N$65),HLOOKUP($E$102,'0 Úvod'!$K$65:$N$67,3,TRUE)),0)</f>
        <v>608953.77642402321</v>
      </c>
      <c r="F108" s="211">
        <f t="shared" si="39"/>
        <v>620219.42128786759</v>
      </c>
      <c r="G108" s="211">
        <f t="shared" ref="G108:S108" si="42">F108*(1+G$104)</f>
        <v>631693.48058169312</v>
      </c>
      <c r="H108" s="211">
        <f t="shared" si="42"/>
        <v>643379.80997245444</v>
      </c>
      <c r="I108" s="211">
        <f t="shared" si="42"/>
        <v>655282.33645694482</v>
      </c>
      <c r="J108" s="211">
        <f t="shared" si="42"/>
        <v>667405.05968139833</v>
      </c>
      <c r="K108" s="211">
        <f t="shared" si="42"/>
        <v>679752.05328550423</v>
      </c>
      <c r="L108" s="211">
        <f t="shared" si="42"/>
        <v>692327.46627128602</v>
      </c>
      <c r="M108" s="211">
        <f t="shared" si="42"/>
        <v>705135.52439730475</v>
      </c>
      <c r="N108" s="211">
        <f t="shared" si="42"/>
        <v>718180.53159865481</v>
      </c>
      <c r="O108" s="211">
        <f t="shared" si="42"/>
        <v>731466.87143322988</v>
      </c>
      <c r="P108" s="211">
        <f t="shared" si="42"/>
        <v>744999.00855474465</v>
      </c>
      <c r="Q108" s="211">
        <f t="shared" si="42"/>
        <v>758781.49021300743</v>
      </c>
      <c r="R108" s="211">
        <f t="shared" si="42"/>
        <v>772818.94778194802</v>
      </c>
      <c r="S108" s="212">
        <f t="shared" si="42"/>
        <v>787116.09831591405</v>
      </c>
      <c r="T108" s="224"/>
      <c r="U108" s="224"/>
      <c r="V108" s="224"/>
      <c r="W108" s="224"/>
      <c r="X108" s="224"/>
      <c r="Y108" s="224"/>
      <c r="Z108" s="224"/>
      <c r="AA108" s="224"/>
      <c r="AB108" s="224"/>
      <c r="AC108" s="224"/>
    </row>
    <row r="109" spans="2:29" ht="14.25" hidden="1" x14ac:dyDescent="0.3">
      <c r="B109" s="202"/>
      <c r="C109" s="205" t="str">
        <f>IF('0 Úvod'!$M$10="English",Slovnik!D147,Slovnik!C147)</f>
        <v>Signalista</v>
      </c>
      <c r="D109" s="206"/>
      <c r="E109" s="210">
        <f>IFERROR(D92*IF('0 Úvod'!$D$18&gt;HLOOKUP('0 Úvod'!$D$18,'0 Úvod'!$K$40:$N$42,1,TRUE),'0 Úvod'!$N$42*(1+0.0249)^('0 Úvod'!$D$18-'0 Úvod'!$N$40),HLOOKUP('0 Úvod'!$D$18,'0 Úvod'!$K$40:$N$42,3,TRUE))*IF($E$102&gt;HLOOKUP($E$102,'0 Úvod'!$K$65:$N$67,1,TRUE),'0 Úvod'!$N$67*(1+0.0185)^($E$102-'0 Úvod'!$N$65),HLOOKUP($E$102,'0 Úvod'!$K$65:$N$67,3,TRUE)),0)</f>
        <v>664326.42631394276</v>
      </c>
      <c r="F109" s="211">
        <f t="shared" si="39"/>
        <v>676616.46520075062</v>
      </c>
      <c r="G109" s="211">
        <f t="shared" ref="G109:S109" si="43">F109*(1+G$104)</f>
        <v>689133.86980696453</v>
      </c>
      <c r="H109" s="211">
        <f t="shared" si="43"/>
        <v>701882.84639839339</v>
      </c>
      <c r="I109" s="211">
        <f t="shared" si="43"/>
        <v>714867.67905676365</v>
      </c>
      <c r="J109" s="211">
        <f t="shared" si="43"/>
        <v>728092.73111931374</v>
      </c>
      <c r="K109" s="211">
        <f t="shared" si="43"/>
        <v>741562.44664502097</v>
      </c>
      <c r="L109" s="211">
        <f t="shared" si="43"/>
        <v>755281.35190795385</v>
      </c>
      <c r="M109" s="211">
        <f t="shared" si="43"/>
        <v>769254.05691825098</v>
      </c>
      <c r="N109" s="211">
        <f t="shared" si="43"/>
        <v>783485.25697123865</v>
      </c>
      <c r="O109" s="211">
        <f t="shared" si="43"/>
        <v>797979.73422520654</v>
      </c>
      <c r="P109" s="211">
        <f t="shared" si="43"/>
        <v>812742.35930837283</v>
      </c>
      <c r="Q109" s="211">
        <f t="shared" si="43"/>
        <v>827778.09295557765</v>
      </c>
      <c r="R109" s="211">
        <f t="shared" si="43"/>
        <v>843091.98767525586</v>
      </c>
      <c r="S109" s="212">
        <f t="shared" si="43"/>
        <v>858689.18944724812</v>
      </c>
      <c r="T109" s="224"/>
      <c r="U109" s="224"/>
      <c r="V109" s="224"/>
      <c r="W109" s="224"/>
      <c r="X109" s="224"/>
      <c r="Y109" s="224"/>
      <c r="Z109" s="224"/>
      <c r="AA109" s="224"/>
      <c r="AB109" s="224"/>
      <c r="AC109" s="224"/>
    </row>
    <row r="110" spans="2:29" ht="14.25" hidden="1" x14ac:dyDescent="0.3">
      <c r="B110" s="202"/>
      <c r="C110" s="205" t="str">
        <f>IF('0 Úvod'!$M$10="English",Slovnik!D148,Slovnik!C148)</f>
        <v>Výhybkář</v>
      </c>
      <c r="D110" s="206"/>
      <c r="E110" s="210">
        <f>IFERROR(D93*IF('0 Úvod'!$D$18&gt;HLOOKUP('0 Úvod'!$D$18,'0 Úvod'!$K$40:$N$42,1,TRUE),'0 Úvod'!$N$42*(1+0.0249)^('0 Úvod'!$D$18-'0 Úvod'!$N$40),HLOOKUP('0 Úvod'!$D$18,'0 Úvod'!$K$40:$N$42,3,TRUE))*IF($E$102&gt;HLOOKUP($E$102,'0 Úvod'!$K$65:$N$67,1,TRUE),'0 Úvod'!$N$67*(1+0.0185)^($E$102-'0 Úvod'!$N$65),HLOOKUP($E$102,'0 Úvod'!$K$65:$N$67,3,TRUE)),0)</f>
        <v>521738.25804163294</v>
      </c>
      <c r="F110" s="211">
        <f t="shared" si="39"/>
        <v>531390.4158154031</v>
      </c>
      <c r="G110" s="211">
        <f t="shared" ref="G110:S110" si="44">F110*(1+G$104)</f>
        <v>541221.13850798807</v>
      </c>
      <c r="H110" s="211">
        <f t="shared" si="44"/>
        <v>551233.72957038588</v>
      </c>
      <c r="I110" s="211">
        <f t="shared" si="44"/>
        <v>561431.55356743804</v>
      </c>
      <c r="J110" s="211">
        <f t="shared" si="44"/>
        <v>571818.03730843565</v>
      </c>
      <c r="K110" s="211">
        <f t="shared" si="44"/>
        <v>582396.67099864164</v>
      </c>
      <c r="L110" s="211">
        <f t="shared" si="44"/>
        <v>593171.00941211649</v>
      </c>
      <c r="M110" s="211">
        <f t="shared" si="44"/>
        <v>604144.67308624065</v>
      </c>
      <c r="N110" s="211">
        <f t="shared" si="44"/>
        <v>615321.34953833604</v>
      </c>
      <c r="O110" s="211">
        <f t="shared" si="44"/>
        <v>626704.79450479522</v>
      </c>
      <c r="P110" s="211">
        <f t="shared" si="44"/>
        <v>638298.83320313389</v>
      </c>
      <c r="Q110" s="211">
        <f t="shared" si="44"/>
        <v>650107.36161739181</v>
      </c>
      <c r="R110" s="211">
        <f t="shared" si="44"/>
        <v>662134.34780731355</v>
      </c>
      <c r="S110" s="212">
        <f t="shared" si="44"/>
        <v>674383.83324174886</v>
      </c>
      <c r="T110" s="224"/>
      <c r="U110" s="224"/>
      <c r="V110" s="224"/>
      <c r="W110" s="224"/>
      <c r="X110" s="224"/>
      <c r="Y110" s="224"/>
      <c r="Z110" s="224"/>
      <c r="AA110" s="224"/>
      <c r="AB110" s="224"/>
      <c r="AC110" s="224"/>
    </row>
    <row r="111" spans="2:29" ht="14.25" hidden="1" x14ac:dyDescent="0.3">
      <c r="B111" s="202"/>
      <c r="C111" s="205" t="str">
        <f>IF('0 Úvod'!$M$10="English",Slovnik!D149,Slovnik!C149)</f>
        <v>Staniční dozorce</v>
      </c>
      <c r="D111" s="206"/>
      <c r="E111" s="210">
        <f>IFERROR(D94*IF('0 Úvod'!$D$18&gt;HLOOKUP('0 Úvod'!$D$18,'0 Úvod'!$K$40:$N$42,1,TRUE),'0 Úvod'!$N$42*(1+0.0249)^('0 Úvod'!$D$18-'0 Úvod'!$N$40),HLOOKUP('0 Úvod'!$D$18,'0 Úvod'!$K$40:$N$42,3,TRUE))*IF($E$102&gt;HLOOKUP($E$102,'0 Úvod'!$K$65:$N$67,1,TRUE),'0 Úvod'!$N$67*(1+0.0185)^($E$102-'0 Úvod'!$N$65),HLOOKUP($E$102,'0 Úvod'!$K$65:$N$67,3,TRUE)),0)</f>
        <v>599221.72863496374</v>
      </c>
      <c r="F111" s="211">
        <f t="shared" si="39"/>
        <v>610307.33061471058</v>
      </c>
      <c r="G111" s="211">
        <f t="shared" ref="G111:S111" si="45">F111*(1+G$104)</f>
        <v>621598.01623108273</v>
      </c>
      <c r="H111" s="211">
        <f t="shared" si="45"/>
        <v>633097.57953135774</v>
      </c>
      <c r="I111" s="211">
        <f t="shared" si="45"/>
        <v>644809.88475268788</v>
      </c>
      <c r="J111" s="211">
        <f t="shared" si="45"/>
        <v>656738.86762061261</v>
      </c>
      <c r="K111" s="211">
        <f t="shared" si="45"/>
        <v>668888.5366715939</v>
      </c>
      <c r="L111" s="211">
        <f t="shared" si="45"/>
        <v>681262.97460001835</v>
      </c>
      <c r="M111" s="211">
        <f t="shared" si="45"/>
        <v>693866.33963011869</v>
      </c>
      <c r="N111" s="211">
        <f t="shared" si="45"/>
        <v>706702.86691327591</v>
      </c>
      <c r="O111" s="211">
        <f t="shared" si="45"/>
        <v>719776.86995117145</v>
      </c>
      <c r="P111" s="211">
        <f t="shared" si="45"/>
        <v>733092.74204526807</v>
      </c>
      <c r="Q111" s="211">
        <f t="shared" si="45"/>
        <v>746654.95777310547</v>
      </c>
      <c r="R111" s="211">
        <f t="shared" si="45"/>
        <v>760468.07449190784</v>
      </c>
      <c r="S111" s="212">
        <f t="shared" si="45"/>
        <v>774536.73387000815</v>
      </c>
      <c r="T111" s="224"/>
      <c r="U111" s="224"/>
      <c r="V111" s="224"/>
      <c r="W111" s="224"/>
      <c r="X111" s="224"/>
      <c r="Y111" s="224"/>
      <c r="Z111" s="224"/>
      <c r="AA111" s="224"/>
      <c r="AB111" s="224"/>
      <c r="AC111" s="224"/>
    </row>
    <row r="112" spans="2:29" ht="14.25" hidden="1" x14ac:dyDescent="0.3">
      <c r="B112" s="202"/>
      <c r="C112" s="205" t="str">
        <f>IF('0 Úvod'!$M$10="English",Slovnik!D150,Slovnik!C150)</f>
        <v>Dozorce výhybek</v>
      </c>
      <c r="D112" s="206"/>
      <c r="E112" s="210">
        <f>IFERROR(D95*IF('0 Úvod'!$D$18&gt;HLOOKUP('0 Úvod'!$D$18,'0 Úvod'!$K$40:$N$42,1,TRUE),'0 Úvod'!$N$42*(1+0.0249)^('0 Úvod'!$D$18-'0 Úvod'!$N$40),HLOOKUP('0 Úvod'!$D$18,'0 Úvod'!$K$40:$N$42,3,TRUE))*IF($E$102&gt;HLOOKUP($E$102,'0 Úvod'!$K$65:$N$67,1,TRUE),'0 Úvod'!$N$67*(1+0.0185)^($E$102-'0 Úvod'!$N$65),HLOOKUP($E$102,'0 Úvod'!$K$65:$N$67,3,TRUE)),0)</f>
        <v>573983.82194769965</v>
      </c>
      <c r="F112" s="211">
        <f t="shared" si="39"/>
        <v>584602.5226537321</v>
      </c>
      <c r="G112" s="211">
        <f t="shared" ref="G112:S112" si="46">F112*(1+G$104)</f>
        <v>595417.66932282608</v>
      </c>
      <c r="H112" s="211">
        <f t="shared" si="46"/>
        <v>606432.89620529837</v>
      </c>
      <c r="I112" s="211">
        <f t="shared" si="46"/>
        <v>617651.90478509641</v>
      </c>
      <c r="J112" s="211">
        <f t="shared" si="46"/>
        <v>629078.46502362064</v>
      </c>
      <c r="K112" s="211">
        <f t="shared" si="46"/>
        <v>640716.41662655759</v>
      </c>
      <c r="L112" s="211">
        <f t="shared" si="46"/>
        <v>652569.67033414892</v>
      </c>
      <c r="M112" s="211">
        <f t="shared" si="46"/>
        <v>664642.20923533069</v>
      </c>
      <c r="N112" s="211">
        <f t="shared" si="46"/>
        <v>676938.09010618425</v>
      </c>
      <c r="O112" s="211">
        <f t="shared" si="46"/>
        <v>689461.44477314863</v>
      </c>
      <c r="P112" s="211">
        <f t="shared" si="46"/>
        <v>702216.48150145181</v>
      </c>
      <c r="Q112" s="211">
        <f t="shared" si="46"/>
        <v>715207.48640922864</v>
      </c>
      <c r="R112" s="211">
        <f t="shared" si="46"/>
        <v>728438.82490779937</v>
      </c>
      <c r="S112" s="212">
        <f t="shared" si="46"/>
        <v>741914.94316859357</v>
      </c>
      <c r="T112" s="224"/>
      <c r="U112" s="224"/>
      <c r="V112" s="224"/>
      <c r="W112" s="224"/>
      <c r="X112" s="224"/>
      <c r="Y112" s="224"/>
      <c r="Z112" s="224"/>
      <c r="AA112" s="224"/>
      <c r="AB112" s="224"/>
      <c r="AC112" s="224"/>
    </row>
    <row r="113" spans="2:29" ht="14.25" hidden="1" x14ac:dyDescent="0.3">
      <c r="B113" s="202"/>
      <c r="C113" s="205" t="str">
        <f>IF('0 Úvod'!$M$10="English",Slovnik!D151,Slovnik!C151)</f>
        <v>Závorář</v>
      </c>
      <c r="D113" s="206"/>
      <c r="E113" s="210">
        <f>IFERROR(D96*IF('0 Úvod'!$D$18&gt;HLOOKUP('0 Úvod'!$D$18,'0 Úvod'!$K$40:$N$42,1,TRUE),'0 Úvod'!$N$42*(1+0.0249)^('0 Úvod'!$D$18-'0 Úvod'!$N$40),HLOOKUP('0 Úvod'!$D$18,'0 Úvod'!$K$40:$N$42,3,TRUE))*IF($E$102&gt;HLOOKUP($E$102,'0 Úvod'!$K$65:$N$67,1,TRUE),'0 Úvod'!$N$67*(1+0.0185)^($E$102-'0 Úvod'!$N$65),HLOOKUP($E$102,'0 Úvod'!$K$65:$N$67,3,TRUE)),0)</f>
        <v>505040.97780344618</v>
      </c>
      <c r="F113" s="211">
        <f t="shared" si="39"/>
        <v>514384.23589280993</v>
      </c>
      <c r="G113" s="211">
        <f t="shared" ref="G113:S113" si="47">F113*(1+G$104)</f>
        <v>523900.34425682691</v>
      </c>
      <c r="H113" s="211">
        <f t="shared" si="47"/>
        <v>533592.50062557822</v>
      </c>
      <c r="I113" s="211">
        <f t="shared" si="47"/>
        <v>543463.96188715135</v>
      </c>
      <c r="J113" s="211">
        <f t="shared" si="47"/>
        <v>553518.04518206359</v>
      </c>
      <c r="K113" s="211">
        <f t="shared" si="47"/>
        <v>563758.12901793176</v>
      </c>
      <c r="L113" s="211">
        <f t="shared" si="47"/>
        <v>574187.65440476348</v>
      </c>
      <c r="M113" s="211">
        <f t="shared" si="47"/>
        <v>584810.12601125159</v>
      </c>
      <c r="N113" s="211">
        <f t="shared" si="47"/>
        <v>595629.11334245966</v>
      </c>
      <c r="O113" s="211">
        <f t="shared" si="47"/>
        <v>606648.25193929509</v>
      </c>
      <c r="P113" s="211">
        <f t="shared" si="47"/>
        <v>617871.24460017204</v>
      </c>
      <c r="Q113" s="211">
        <f t="shared" si="47"/>
        <v>629301.86262527516</v>
      </c>
      <c r="R113" s="211">
        <f t="shared" si="47"/>
        <v>640943.94708384271</v>
      </c>
      <c r="S113" s="212">
        <f t="shared" si="47"/>
        <v>652801.41010489373</v>
      </c>
      <c r="T113" s="224"/>
      <c r="U113" s="224"/>
      <c r="V113" s="224"/>
      <c r="W113" s="224"/>
      <c r="X113" s="224"/>
      <c r="Y113" s="224"/>
      <c r="Z113" s="224"/>
      <c r="AA113" s="224"/>
      <c r="AB113" s="224"/>
      <c r="AC113" s="224"/>
    </row>
    <row r="114" spans="2:29" ht="14.25" hidden="1" x14ac:dyDescent="0.3">
      <c r="B114" s="202"/>
      <c r="C114" s="205" t="str">
        <f>IF('0 Úvod'!$M$10="English",Slovnik!D152,Slovnik!C152)</f>
        <v>Závorář s prodejem jízdenek</v>
      </c>
      <c r="D114" s="206"/>
      <c r="E114" s="210">
        <f>IFERROR(D97*IF('0 Úvod'!$D$18&gt;HLOOKUP('0 Úvod'!$D$18,'0 Úvod'!$K$40:$N$42,1,TRUE),'0 Úvod'!$N$42*(1+0.0249)^('0 Úvod'!$D$18-'0 Úvod'!$N$40),HLOOKUP('0 Úvod'!$D$18,'0 Úvod'!$K$40:$N$42,3,TRUE))*IF($E$102&gt;HLOOKUP($E$102,'0 Úvod'!$K$65:$N$67,1,TRUE),'0 Úvod'!$N$67*(1+0.0185)^($E$102-'0 Úvod'!$N$65),HLOOKUP($E$102,'0 Úvod'!$K$65:$N$67,3,TRUE)),0)</f>
        <v>514784.08653332788</v>
      </c>
      <c r="F114" s="211">
        <f t="shared" si="39"/>
        <v>524307.59213419445</v>
      </c>
      <c r="G114" s="211">
        <f t="shared" ref="G114:S114" si="48">F114*(1+G$104)</f>
        <v>534007.28258867702</v>
      </c>
      <c r="H114" s="211">
        <f t="shared" si="48"/>
        <v>543886.4173165675</v>
      </c>
      <c r="I114" s="211">
        <f t="shared" si="48"/>
        <v>553948.31603692402</v>
      </c>
      <c r="J114" s="211">
        <f t="shared" si="48"/>
        <v>564196.35988360713</v>
      </c>
      <c r="K114" s="211">
        <f t="shared" si="48"/>
        <v>574633.9925414538</v>
      </c>
      <c r="L114" s="211">
        <f t="shared" si="48"/>
        <v>585264.72140347073</v>
      </c>
      <c r="M114" s="211">
        <f t="shared" si="48"/>
        <v>596092.11874943494</v>
      </c>
      <c r="N114" s="211">
        <f t="shared" si="48"/>
        <v>607119.82294629945</v>
      </c>
      <c r="O114" s="211">
        <f t="shared" si="48"/>
        <v>618351.53967080591</v>
      </c>
      <c r="P114" s="211">
        <f t="shared" si="48"/>
        <v>629791.04315471579</v>
      </c>
      <c r="Q114" s="211">
        <f t="shared" si="48"/>
        <v>641442.17745307798</v>
      </c>
      <c r="R114" s="211">
        <f t="shared" si="48"/>
        <v>653308.85773595993</v>
      </c>
      <c r="S114" s="212">
        <f t="shared" si="48"/>
        <v>665395.07160407514</v>
      </c>
      <c r="T114" s="224"/>
      <c r="U114" s="224"/>
      <c r="V114" s="224"/>
      <c r="W114" s="224"/>
      <c r="X114" s="224"/>
      <c r="Y114" s="224"/>
      <c r="Z114" s="224"/>
      <c r="AA114" s="224"/>
      <c r="AB114" s="224"/>
      <c r="AC114" s="224"/>
    </row>
    <row r="115" spans="2:29" ht="14.25" hidden="1" x14ac:dyDescent="0.3">
      <c r="B115" s="202"/>
      <c r="C115" s="205" t="str">
        <f>IF('0 Úvod'!$M$10="English",Slovnik!D153,Slovnik!C153)</f>
        <v>Hradlář – hláskař</v>
      </c>
      <c r="D115" s="206"/>
      <c r="E115" s="210">
        <f>IFERROR(D98*IF('0 Úvod'!$D$18&gt;HLOOKUP('0 Úvod'!$D$18,'0 Úvod'!$K$40:$N$42,1,TRUE),'0 Úvod'!$N$42*(1+0.0249)^('0 Úvod'!$D$18-'0 Úvod'!$N$40),HLOOKUP('0 Úvod'!$D$18,'0 Úvod'!$K$40:$N$42,3,TRUE))*IF($E$102&gt;HLOOKUP($E$102,'0 Úvod'!$K$65:$N$67,1,TRUE),'0 Úvod'!$N$67*(1+0.0185)^($E$102-'0 Úvod'!$N$65),HLOOKUP($E$102,'0 Úvod'!$K$65:$N$67,3,TRUE)),0)</f>
        <v>550213.86012097087</v>
      </c>
      <c r="F115" s="211">
        <f t="shared" si="39"/>
        <v>560392.81653320882</v>
      </c>
      <c r="G115" s="211">
        <f t="shared" ref="G115:S115" si="49">F115*(1+G$104)</f>
        <v>570760.08363907319</v>
      </c>
      <c r="H115" s="211">
        <f t="shared" si="49"/>
        <v>581319.14518639597</v>
      </c>
      <c r="I115" s="211">
        <f t="shared" si="49"/>
        <v>592073.54937234428</v>
      </c>
      <c r="J115" s="211">
        <f t="shared" si="49"/>
        <v>603026.91003573267</v>
      </c>
      <c r="K115" s="211">
        <f t="shared" si="49"/>
        <v>614182.90787139372</v>
      </c>
      <c r="L115" s="211">
        <f t="shared" si="49"/>
        <v>625545.29166701448</v>
      </c>
      <c r="M115" s="211">
        <f t="shared" si="49"/>
        <v>637117.87956285418</v>
      </c>
      <c r="N115" s="211">
        <f t="shared" si="49"/>
        <v>648904.56033476698</v>
      </c>
      <c r="O115" s="211">
        <f t="shared" si="49"/>
        <v>660909.29470096016</v>
      </c>
      <c r="P115" s="211">
        <f t="shared" si="49"/>
        <v>673136.11665292794</v>
      </c>
      <c r="Q115" s="211">
        <f t="shared" si="49"/>
        <v>685589.13481100707</v>
      </c>
      <c r="R115" s="211">
        <f t="shared" si="49"/>
        <v>698272.53380501072</v>
      </c>
      <c r="S115" s="212">
        <f t="shared" si="49"/>
        <v>711190.57568040339</v>
      </c>
      <c r="T115" s="224"/>
      <c r="U115" s="224"/>
      <c r="V115" s="224"/>
      <c r="W115" s="224"/>
      <c r="X115" s="224"/>
      <c r="Y115" s="224"/>
      <c r="Z115" s="224"/>
      <c r="AA115" s="224"/>
      <c r="AB115" s="224"/>
      <c r="AC115" s="224"/>
    </row>
    <row r="116" spans="2:29" ht="14.25" hidden="1" x14ac:dyDescent="0.3">
      <c r="B116" s="202"/>
      <c r="C116" s="205" t="str">
        <f>IF('0 Úvod'!$M$10="English",Slovnik!D154,Slovnik!C154)</f>
        <v>Hradlář – hláskař s prodejem jízdenek</v>
      </c>
      <c r="D116" s="206"/>
      <c r="E116" s="210">
        <f>IFERROR(D99*IF('0 Úvod'!$D$18&gt;HLOOKUP('0 Úvod'!$D$18,'0 Úvod'!$K$40:$N$42,1,TRUE),'0 Úvod'!$N$42*(1+0.0249)^('0 Úvod'!$D$18-'0 Úvod'!$N$40),HLOOKUP('0 Úvod'!$D$18,'0 Úvod'!$K$40:$N$42,3,TRUE))*IF($E$102&gt;HLOOKUP($E$102,'0 Úvod'!$K$65:$N$67,1,TRUE),'0 Úvod'!$N$67*(1+0.0185)^($E$102-'0 Úvod'!$N$65),HLOOKUP($E$102,'0 Úvod'!$K$65:$N$67,3,TRUE)),0)</f>
        <v>540429.66789660708</v>
      </c>
      <c r="F116" s="211">
        <f t="shared" si="39"/>
        <v>550427.61675269424</v>
      </c>
      <c r="G116" s="211">
        <f t="shared" ref="G116:S116" si="50">F116*(1+G$104)</f>
        <v>560610.52766261902</v>
      </c>
      <c r="H116" s="211">
        <f t="shared" si="50"/>
        <v>570981.82242437743</v>
      </c>
      <c r="I116" s="211">
        <f t="shared" si="50"/>
        <v>581544.98613922833</v>
      </c>
      <c r="J116" s="211">
        <f t="shared" si="50"/>
        <v>592303.56838280405</v>
      </c>
      <c r="K116" s="211">
        <f t="shared" si="50"/>
        <v>603261.18439788593</v>
      </c>
      <c r="L116" s="211">
        <f t="shared" si="50"/>
        <v>614421.51630924677</v>
      </c>
      <c r="M116" s="211">
        <f t="shared" si="50"/>
        <v>625788.31436096784</v>
      </c>
      <c r="N116" s="211">
        <f t="shared" si="50"/>
        <v>637365.39817664574</v>
      </c>
      <c r="O116" s="211">
        <f t="shared" si="50"/>
        <v>649156.65804291365</v>
      </c>
      <c r="P116" s="211">
        <f t="shared" si="50"/>
        <v>661166.05621670757</v>
      </c>
      <c r="Q116" s="211">
        <f t="shared" si="50"/>
        <v>673397.62825671665</v>
      </c>
      <c r="R116" s="211">
        <f t="shared" si="50"/>
        <v>685855.48437946592</v>
      </c>
      <c r="S116" s="212">
        <f t="shared" si="50"/>
        <v>698543.81084048597</v>
      </c>
      <c r="T116" s="224"/>
      <c r="U116" s="224"/>
      <c r="V116" s="224"/>
      <c r="W116" s="224"/>
      <c r="X116" s="224"/>
      <c r="Y116" s="224"/>
      <c r="Z116" s="224"/>
      <c r="AA116" s="224"/>
      <c r="AB116" s="224"/>
      <c r="AC116" s="224"/>
    </row>
    <row r="117" spans="2:29" ht="15" hidden="1" thickBot="1" x14ac:dyDescent="0.35">
      <c r="B117" s="518"/>
      <c r="C117" s="529" t="str">
        <f>IF('0 Úvod'!$M$10="English",Slovnik!D155,Slovnik!C155)</f>
        <v>Dělník v dopravě – staniční dělník</v>
      </c>
      <c r="D117" s="530"/>
      <c r="E117" s="531">
        <f>IFERROR(D100*IF('0 Úvod'!$D$18&gt;HLOOKUP('0 Úvod'!$D$18,'0 Úvod'!$K$40:$N$42,1,TRUE),'0 Úvod'!$N$42*(1+0.0249)^('0 Úvod'!$D$18-'0 Úvod'!$N$40),HLOOKUP('0 Úvod'!$D$18,'0 Úvod'!$K$40:$N$42,3,TRUE))*IF($E$102&gt;HLOOKUP($E$102,'0 Úvod'!$K$65:$N$67,1,TRUE),'0 Úvod'!$N$67*(1+0.0185)^($E$102-'0 Úvod'!$N$65),HLOOKUP($E$102,'0 Úvod'!$K$65:$N$67,3,TRUE)),0)</f>
        <v>353265.90811116685</v>
      </c>
      <c r="F117" s="532">
        <f t="shared" si="39"/>
        <v>359801.32741122344</v>
      </c>
      <c r="G117" s="532">
        <f t="shared" ref="G117:S117" si="51">F117*(1+G$104)</f>
        <v>366457.65196833108</v>
      </c>
      <c r="H117" s="532">
        <f t="shared" si="51"/>
        <v>373237.1185297452</v>
      </c>
      <c r="I117" s="532">
        <f t="shared" si="51"/>
        <v>380142.00522254547</v>
      </c>
      <c r="J117" s="532">
        <f t="shared" si="51"/>
        <v>387174.63231916254</v>
      </c>
      <c r="K117" s="532">
        <f t="shared" si="51"/>
        <v>394337.36301706702</v>
      </c>
      <c r="L117" s="532">
        <f t="shared" si="51"/>
        <v>401632.60423288273</v>
      </c>
      <c r="M117" s="532">
        <f t="shared" si="51"/>
        <v>409062.80741119105</v>
      </c>
      <c r="N117" s="532">
        <f t="shared" si="51"/>
        <v>416630.46934829809</v>
      </c>
      <c r="O117" s="532">
        <f t="shared" si="51"/>
        <v>424338.1330312416</v>
      </c>
      <c r="P117" s="532">
        <f t="shared" si="51"/>
        <v>432188.38849231956</v>
      </c>
      <c r="Q117" s="532">
        <f t="shared" si="51"/>
        <v>440183.87367942743</v>
      </c>
      <c r="R117" s="532">
        <f t="shared" si="51"/>
        <v>448327.27534249681</v>
      </c>
      <c r="S117" s="533">
        <f t="shared" si="51"/>
        <v>456621.329936333</v>
      </c>
      <c r="T117" s="224"/>
      <c r="U117" s="224"/>
      <c r="V117" s="224"/>
      <c r="W117" s="224"/>
      <c r="X117" s="224"/>
      <c r="Y117" s="224"/>
      <c r="Z117" s="224"/>
      <c r="AA117" s="224"/>
      <c r="AB117" s="224"/>
      <c r="AC117" s="224"/>
    </row>
    <row r="118" spans="2:29" ht="15" hidden="1" thickBot="1" x14ac:dyDescent="0.35">
      <c r="B118" s="164"/>
      <c r="C118" s="139"/>
      <c r="D118" s="141"/>
      <c r="E118" s="141"/>
      <c r="F118" s="141"/>
      <c r="G118" s="141"/>
      <c r="H118" s="141"/>
      <c r="I118" s="141"/>
      <c r="J118" s="141"/>
      <c r="K118" s="141"/>
      <c r="L118" s="141"/>
      <c r="M118" s="141"/>
      <c r="N118" s="141"/>
      <c r="O118" s="141"/>
      <c r="P118" s="141"/>
      <c r="Q118" s="141"/>
      <c r="R118" s="141"/>
      <c r="S118" s="141"/>
      <c r="T118" s="224"/>
      <c r="U118" s="224"/>
      <c r="V118" s="224"/>
      <c r="W118" s="224"/>
      <c r="X118" s="224"/>
      <c r="Y118" s="224"/>
      <c r="Z118" s="224"/>
      <c r="AA118" s="224"/>
      <c r="AB118" s="224"/>
      <c r="AC118" s="224"/>
    </row>
    <row r="119" spans="2:29" ht="14.25" hidden="1" x14ac:dyDescent="0.3">
      <c r="B119" s="185" t="str">
        <f>B102</f>
        <v>3.5.</v>
      </c>
      <c r="C119" s="190" t="str">
        <f>C102</f>
        <v>Růst nákladů na řízení provozu</v>
      </c>
      <c r="D119" s="191"/>
      <c r="E119" s="1895">
        <f t="shared" ref="E119:S119" si="52">E67</f>
        <v>2041</v>
      </c>
      <c r="F119" s="1897">
        <f t="shared" si="52"/>
        <v>2042</v>
      </c>
      <c r="G119" s="1897">
        <f t="shared" si="52"/>
        <v>2043</v>
      </c>
      <c r="H119" s="1897">
        <f t="shared" si="52"/>
        <v>2044</v>
      </c>
      <c r="I119" s="1897">
        <f t="shared" si="52"/>
        <v>2045</v>
      </c>
      <c r="J119" s="1897">
        <f t="shared" si="52"/>
        <v>2046</v>
      </c>
      <c r="K119" s="1897">
        <f t="shared" si="52"/>
        <v>2047</v>
      </c>
      <c r="L119" s="1897">
        <f t="shared" si="52"/>
        <v>2048</v>
      </c>
      <c r="M119" s="1897">
        <f t="shared" si="52"/>
        <v>2049</v>
      </c>
      <c r="N119" s="1897">
        <f t="shared" si="52"/>
        <v>2050</v>
      </c>
      <c r="O119" s="1897">
        <f t="shared" si="52"/>
        <v>2051</v>
      </c>
      <c r="P119" s="1897">
        <f t="shared" si="52"/>
        <v>2052</v>
      </c>
      <c r="Q119" s="1897">
        <f t="shared" si="52"/>
        <v>2053</v>
      </c>
      <c r="R119" s="1897">
        <f t="shared" si="52"/>
        <v>2054</v>
      </c>
      <c r="S119" s="1913">
        <f t="shared" si="52"/>
        <v>2055</v>
      </c>
      <c r="T119" s="224"/>
      <c r="U119" s="224"/>
      <c r="V119" s="224"/>
      <c r="W119" s="224"/>
      <c r="X119" s="224"/>
      <c r="Y119" s="224"/>
      <c r="Z119" s="224"/>
      <c r="AA119" s="224"/>
      <c r="AB119" s="224"/>
      <c r="AC119" s="224"/>
    </row>
    <row r="120" spans="2:29" ht="15" hidden="1" thickBot="1" x14ac:dyDescent="0.35">
      <c r="B120" s="188" t="s">
        <v>5</v>
      </c>
      <c r="C120" s="522"/>
      <c r="D120" s="189" t="str">
        <f>D103</f>
        <v>Elasticita</v>
      </c>
      <c r="E120" s="1896"/>
      <c r="F120" s="1898"/>
      <c r="G120" s="1898"/>
      <c r="H120" s="1898"/>
      <c r="I120" s="1898"/>
      <c r="J120" s="1898"/>
      <c r="K120" s="1898"/>
      <c r="L120" s="1898"/>
      <c r="M120" s="1898"/>
      <c r="N120" s="1898"/>
      <c r="O120" s="1898"/>
      <c r="P120" s="1898"/>
      <c r="Q120" s="1898"/>
      <c r="R120" s="1898"/>
      <c r="S120" s="1914"/>
      <c r="T120" s="224"/>
      <c r="U120" s="224"/>
      <c r="V120" s="224"/>
      <c r="W120" s="224"/>
      <c r="X120" s="224"/>
      <c r="Y120" s="224"/>
      <c r="Z120" s="224"/>
      <c r="AA120" s="224"/>
      <c r="AB120" s="224"/>
      <c r="AC120" s="224"/>
    </row>
    <row r="121" spans="2:29" ht="14.25" hidden="1" x14ac:dyDescent="0.3">
      <c r="B121" s="203"/>
      <c r="C121" s="204" t="str">
        <f>C104</f>
        <v>Růst reálné mzdy v dopravě</v>
      </c>
      <c r="D121" s="213">
        <f>D104</f>
        <v>1</v>
      </c>
      <c r="E121" s="214">
        <f>$D$104*IFERROR(HLOOKUP(E$119,'0 Úvod'!$D$65:$N$67,2,FALSE),0.0185)</f>
        <v>1.8499999999999999E-2</v>
      </c>
      <c r="F121" s="208">
        <f>$D$104*IFERROR(HLOOKUP(F$119,'0 Úvod'!$D$65:$N$67,2,FALSE),0.0185)</f>
        <v>1.8499999999999999E-2</v>
      </c>
      <c r="G121" s="208">
        <f>$D$104*IFERROR(HLOOKUP(G$119,'0 Úvod'!$D$65:$N$67,2,FALSE),0.0185)</f>
        <v>1.8499999999999999E-2</v>
      </c>
      <c r="H121" s="208">
        <f>$D$104*IFERROR(HLOOKUP(H$119,'0 Úvod'!$D$65:$N$67,2,FALSE),0.0185)</f>
        <v>1.8499999999999999E-2</v>
      </c>
      <c r="I121" s="208">
        <f>$D$104*IFERROR(HLOOKUP(I$119,'0 Úvod'!$D$65:$N$67,2,FALSE),0.0185)</f>
        <v>1.8499999999999999E-2</v>
      </c>
      <c r="J121" s="208">
        <f>$D$104*IFERROR(HLOOKUP(J$119,'0 Úvod'!$D$65:$N$67,2,FALSE),0.0185)</f>
        <v>1.8499999999999999E-2</v>
      </c>
      <c r="K121" s="208">
        <f>$D$104*IFERROR(HLOOKUP(K$119,'0 Úvod'!$D$65:$N$67,2,FALSE),0.0185)</f>
        <v>1.8499999999999999E-2</v>
      </c>
      <c r="L121" s="208">
        <f>$D$104*IFERROR(HLOOKUP(L$119,'0 Úvod'!$D$65:$N$67,2,FALSE),0.0185)</f>
        <v>1.8499999999999999E-2</v>
      </c>
      <c r="M121" s="208">
        <f>$D$104*IFERROR(HLOOKUP(M$119,'0 Úvod'!$D$65:$N$67,2,FALSE),0.0185)</f>
        <v>1.8499999999999999E-2</v>
      </c>
      <c r="N121" s="208">
        <f>$D$104*IFERROR(HLOOKUP(N$119,'0 Úvod'!$D$65:$N$67,2,FALSE),0.0185)</f>
        <v>1.8499999999999999E-2</v>
      </c>
      <c r="O121" s="208">
        <f>$D$104*IFERROR(HLOOKUP(O$119,'0 Úvod'!$D$65:$N$67,2,FALSE),0.0185)</f>
        <v>1.8499999999999999E-2</v>
      </c>
      <c r="P121" s="208">
        <f>$D$104*IFERROR(HLOOKUP(P$119,'0 Úvod'!$D$65:$N$67,2,FALSE),0.0185)</f>
        <v>1.8499999999999999E-2</v>
      </c>
      <c r="Q121" s="208">
        <f>$D$104*IFERROR(HLOOKUP(Q$119,'0 Úvod'!$D$65:$N$67,2,FALSE),0.0185)</f>
        <v>1.8499999999999999E-2</v>
      </c>
      <c r="R121" s="208">
        <f>$D$104*IFERROR(HLOOKUP(R$119,'0 Úvod'!$D$65:$N$67,2,FALSE),0.0185)</f>
        <v>1.8499999999999999E-2</v>
      </c>
      <c r="S121" s="209">
        <f>$D$104*IFERROR(HLOOKUP(S$119,'0 Úvod'!$D$65:$N$67,2,FALSE),0.0185)</f>
        <v>1.8499999999999999E-2</v>
      </c>
      <c r="T121" s="224"/>
      <c r="U121" s="224"/>
      <c r="V121" s="224"/>
      <c r="W121" s="224"/>
      <c r="X121" s="224"/>
      <c r="Y121" s="224"/>
      <c r="Z121" s="224"/>
      <c r="AA121" s="224"/>
      <c r="AB121" s="224"/>
      <c r="AC121" s="224"/>
    </row>
    <row r="122" spans="2:29" ht="14.25" hidden="1" x14ac:dyDescent="0.3">
      <c r="B122" s="523"/>
      <c r="C122" s="524" t="str">
        <f t="shared" ref="C122:C134" si="53">C105</f>
        <v>Dozorčí provozu</v>
      </c>
      <c r="D122" s="525"/>
      <c r="E122" s="526">
        <f>S105*(1+E$121)</f>
        <v>1318712.5777593115</v>
      </c>
      <c r="F122" s="527">
        <f>E122*(1+F$121)</f>
        <v>1343108.7604478588</v>
      </c>
      <c r="G122" s="527">
        <f t="shared" ref="G122:S122" si="54">F122*(1+G$121)</f>
        <v>1367956.2725161442</v>
      </c>
      <c r="H122" s="527">
        <f t="shared" si="54"/>
        <v>1393263.4635576927</v>
      </c>
      <c r="I122" s="527">
        <f t="shared" si="54"/>
        <v>1419038.8376335099</v>
      </c>
      <c r="J122" s="527">
        <f t="shared" si="54"/>
        <v>1445291.0561297298</v>
      </c>
      <c r="K122" s="527">
        <f t="shared" si="54"/>
        <v>1472028.9406681298</v>
      </c>
      <c r="L122" s="527">
        <f t="shared" si="54"/>
        <v>1499261.4760704902</v>
      </c>
      <c r="M122" s="527">
        <f t="shared" si="54"/>
        <v>1526997.8133777941</v>
      </c>
      <c r="N122" s="527">
        <f t="shared" si="54"/>
        <v>1555247.2729252833</v>
      </c>
      <c r="O122" s="527">
        <f t="shared" si="54"/>
        <v>1584019.3474744009</v>
      </c>
      <c r="P122" s="527">
        <f t="shared" si="54"/>
        <v>1613323.7054026772</v>
      </c>
      <c r="Q122" s="527">
        <f t="shared" si="54"/>
        <v>1643170.1939526265</v>
      </c>
      <c r="R122" s="527">
        <f t="shared" si="54"/>
        <v>1673568.84254075</v>
      </c>
      <c r="S122" s="528">
        <f t="shared" si="54"/>
        <v>1704529.8661277539</v>
      </c>
      <c r="T122" s="224"/>
      <c r="U122" s="224"/>
      <c r="V122" s="224"/>
      <c r="W122" s="224"/>
      <c r="X122" s="224"/>
      <c r="Y122" s="224"/>
      <c r="Z122" s="224"/>
      <c r="AA122" s="224"/>
      <c r="AB122" s="224"/>
      <c r="AC122" s="224"/>
    </row>
    <row r="123" spans="2:29" ht="14.25" hidden="1" x14ac:dyDescent="0.3">
      <c r="B123" s="202"/>
      <c r="C123" s="205" t="str">
        <f t="shared" si="53"/>
        <v>Výpravčí</v>
      </c>
      <c r="D123" s="206"/>
      <c r="E123" s="210">
        <f t="shared" ref="E123:E134" si="55">S106*(1+E$121)</f>
        <v>1147460.4434485959</v>
      </c>
      <c r="F123" s="211">
        <f t="shared" ref="F123:F134" si="56">E123*(1+F$121)</f>
        <v>1168688.4616523948</v>
      </c>
      <c r="G123" s="211">
        <f t="shared" ref="G123:S123" si="57">F123*(1+G$121)</f>
        <v>1190309.1981929641</v>
      </c>
      <c r="H123" s="211">
        <f t="shared" si="57"/>
        <v>1212329.9183595339</v>
      </c>
      <c r="I123" s="211">
        <f t="shared" si="57"/>
        <v>1234758.0218491852</v>
      </c>
      <c r="J123" s="211">
        <f t="shared" si="57"/>
        <v>1257601.0452533951</v>
      </c>
      <c r="K123" s="211">
        <f t="shared" si="57"/>
        <v>1280866.664590583</v>
      </c>
      <c r="L123" s="211">
        <f t="shared" si="57"/>
        <v>1304562.6978855086</v>
      </c>
      <c r="M123" s="211">
        <f t="shared" si="57"/>
        <v>1328697.1077963905</v>
      </c>
      <c r="N123" s="211">
        <f t="shared" si="57"/>
        <v>1353278.0042906238</v>
      </c>
      <c r="O123" s="211">
        <f t="shared" si="57"/>
        <v>1378313.6473700004</v>
      </c>
      <c r="P123" s="211">
        <f t="shared" si="57"/>
        <v>1403812.4498463452</v>
      </c>
      <c r="Q123" s="211">
        <f t="shared" si="57"/>
        <v>1429782.9801685025</v>
      </c>
      <c r="R123" s="211">
        <f t="shared" si="57"/>
        <v>1456233.9653016198</v>
      </c>
      <c r="S123" s="212">
        <f t="shared" si="57"/>
        <v>1483174.2936596998</v>
      </c>
      <c r="T123" s="224"/>
      <c r="U123" s="224"/>
      <c r="V123" s="224"/>
      <c r="W123" s="224"/>
      <c r="X123" s="224"/>
      <c r="Y123" s="224"/>
      <c r="Z123" s="224"/>
      <c r="AA123" s="224"/>
      <c r="AB123" s="224"/>
      <c r="AC123" s="224"/>
    </row>
    <row r="124" spans="2:29" ht="14.25" hidden="1" x14ac:dyDescent="0.3">
      <c r="B124" s="202"/>
      <c r="C124" s="205" t="str">
        <f t="shared" si="53"/>
        <v>Dozorčí provozu – vedoucí směny</v>
      </c>
      <c r="D124" s="206"/>
      <c r="E124" s="210">
        <f t="shared" si="55"/>
        <v>1316226.7133637366</v>
      </c>
      <c r="F124" s="211">
        <f t="shared" si="56"/>
        <v>1340576.9075609657</v>
      </c>
      <c r="G124" s="211">
        <f t="shared" ref="G124:S124" si="58">F124*(1+G$121)</f>
        <v>1365377.5803508435</v>
      </c>
      <c r="H124" s="211">
        <f t="shared" si="58"/>
        <v>1390637.0655873341</v>
      </c>
      <c r="I124" s="211">
        <f t="shared" si="58"/>
        <v>1416363.8513006996</v>
      </c>
      <c r="J124" s="211">
        <f t="shared" si="58"/>
        <v>1442566.5825497624</v>
      </c>
      <c r="K124" s="211">
        <f t="shared" si="58"/>
        <v>1469254.0643269329</v>
      </c>
      <c r="L124" s="211">
        <f t="shared" si="58"/>
        <v>1496435.2645169811</v>
      </c>
      <c r="M124" s="211">
        <f t="shared" si="58"/>
        <v>1524119.3169105451</v>
      </c>
      <c r="N124" s="211">
        <f t="shared" si="58"/>
        <v>1552315.5242733902</v>
      </c>
      <c r="O124" s="211">
        <f t="shared" si="58"/>
        <v>1581033.3614724479</v>
      </c>
      <c r="P124" s="211">
        <f t="shared" si="58"/>
        <v>1610282.478659688</v>
      </c>
      <c r="Q124" s="211">
        <f t="shared" si="58"/>
        <v>1640072.7045148923</v>
      </c>
      <c r="R124" s="211">
        <f t="shared" si="58"/>
        <v>1670414.0495484178</v>
      </c>
      <c r="S124" s="212">
        <f t="shared" si="58"/>
        <v>1701316.7094650634</v>
      </c>
      <c r="T124" s="224"/>
      <c r="U124" s="224"/>
      <c r="V124" s="224"/>
      <c r="W124" s="224"/>
      <c r="X124" s="224"/>
      <c r="Y124" s="224"/>
      <c r="Z124" s="224"/>
      <c r="AA124" s="224"/>
      <c r="AB124" s="224"/>
      <c r="AC124" s="224"/>
    </row>
    <row r="125" spans="2:29" ht="14.25" hidden="1" x14ac:dyDescent="0.3">
      <c r="B125" s="202"/>
      <c r="C125" s="205" t="str">
        <f t="shared" si="53"/>
        <v>Operátor železniční dopravy</v>
      </c>
      <c r="D125" s="206"/>
      <c r="E125" s="210">
        <f t="shared" si="55"/>
        <v>801677.74613475846</v>
      </c>
      <c r="F125" s="211">
        <f t="shared" si="56"/>
        <v>816508.78443825152</v>
      </c>
      <c r="G125" s="211">
        <f t="shared" ref="G125:S125" si="59">F125*(1+G$121)</f>
        <v>831614.19695035915</v>
      </c>
      <c r="H125" s="211">
        <f t="shared" si="59"/>
        <v>846999.05959394074</v>
      </c>
      <c r="I125" s="211">
        <f t="shared" si="59"/>
        <v>862668.54219642864</v>
      </c>
      <c r="J125" s="211">
        <f t="shared" si="59"/>
        <v>878627.91022706253</v>
      </c>
      <c r="K125" s="211">
        <f t="shared" si="59"/>
        <v>894882.52656626317</v>
      </c>
      <c r="L125" s="211">
        <f t="shared" si="59"/>
        <v>911437.85330773902</v>
      </c>
      <c r="M125" s="211">
        <f t="shared" si="59"/>
        <v>928299.45359393221</v>
      </c>
      <c r="N125" s="211">
        <f t="shared" si="59"/>
        <v>945472.99348541989</v>
      </c>
      <c r="O125" s="211">
        <f t="shared" si="59"/>
        <v>962964.24386490008</v>
      </c>
      <c r="P125" s="211">
        <f t="shared" si="59"/>
        <v>980779.08237640071</v>
      </c>
      <c r="Q125" s="211">
        <f t="shared" si="59"/>
        <v>998923.49540036405</v>
      </c>
      <c r="R125" s="211">
        <f t="shared" si="59"/>
        <v>1017403.5800652708</v>
      </c>
      <c r="S125" s="212">
        <f t="shared" si="59"/>
        <v>1036225.5462964782</v>
      </c>
      <c r="T125" s="224"/>
      <c r="U125" s="224"/>
      <c r="V125" s="224"/>
      <c r="W125" s="224"/>
      <c r="X125" s="224"/>
      <c r="Y125" s="224"/>
      <c r="Z125" s="224"/>
      <c r="AA125" s="224"/>
      <c r="AB125" s="224"/>
      <c r="AC125" s="224"/>
    </row>
    <row r="126" spans="2:29" ht="14.25" hidden="1" x14ac:dyDescent="0.3">
      <c r="B126" s="202"/>
      <c r="C126" s="205" t="str">
        <f t="shared" si="53"/>
        <v>Signalista</v>
      </c>
      <c r="D126" s="206"/>
      <c r="E126" s="210">
        <f t="shared" si="55"/>
        <v>874574.9394520222</v>
      </c>
      <c r="F126" s="211">
        <f t="shared" si="56"/>
        <v>890754.57583188452</v>
      </c>
      <c r="G126" s="211">
        <f t="shared" ref="G126:S126" si="60">F126*(1+G$121)</f>
        <v>907233.53548477439</v>
      </c>
      <c r="H126" s="211">
        <f t="shared" si="60"/>
        <v>924017.35589124262</v>
      </c>
      <c r="I126" s="211">
        <f t="shared" si="60"/>
        <v>941111.67697523057</v>
      </c>
      <c r="J126" s="211">
        <f t="shared" si="60"/>
        <v>958522.2429992723</v>
      </c>
      <c r="K126" s="211">
        <f t="shared" si="60"/>
        <v>976254.90449475881</v>
      </c>
      <c r="L126" s="211">
        <f t="shared" si="60"/>
        <v>994315.62022791186</v>
      </c>
      <c r="M126" s="211">
        <f t="shared" si="60"/>
        <v>1012710.4592021282</v>
      </c>
      <c r="N126" s="211">
        <f t="shared" si="60"/>
        <v>1031445.6026973675</v>
      </c>
      <c r="O126" s="211">
        <f t="shared" si="60"/>
        <v>1050527.3463472689</v>
      </c>
      <c r="P126" s="211">
        <f t="shared" si="60"/>
        <v>1069962.1022546934</v>
      </c>
      <c r="Q126" s="211">
        <f t="shared" si="60"/>
        <v>1089756.4011464051</v>
      </c>
      <c r="R126" s="211">
        <f t="shared" si="60"/>
        <v>1109916.8945676135</v>
      </c>
      <c r="S126" s="212">
        <f t="shared" si="60"/>
        <v>1130450.3571171144</v>
      </c>
      <c r="T126" s="224"/>
      <c r="U126" s="224"/>
      <c r="V126" s="224"/>
      <c r="W126" s="224"/>
      <c r="X126" s="224"/>
      <c r="Y126" s="224"/>
      <c r="Z126" s="224"/>
      <c r="AA126" s="224"/>
      <c r="AB126" s="224"/>
      <c r="AC126" s="224"/>
    </row>
    <row r="127" spans="2:29" ht="14.25" hidden="1" x14ac:dyDescent="0.3">
      <c r="B127" s="202"/>
      <c r="C127" s="205" t="str">
        <f t="shared" si="53"/>
        <v>Výhybkář</v>
      </c>
      <c r="D127" s="206"/>
      <c r="E127" s="210">
        <f t="shared" si="55"/>
        <v>686859.93415672123</v>
      </c>
      <c r="F127" s="211">
        <f t="shared" si="56"/>
        <v>699566.8429386206</v>
      </c>
      <c r="G127" s="211">
        <f t="shared" ref="G127:S127" si="61">F127*(1+G$121)</f>
        <v>712508.82953298499</v>
      </c>
      <c r="H127" s="211">
        <f t="shared" si="61"/>
        <v>725690.2428793452</v>
      </c>
      <c r="I127" s="211">
        <f t="shared" si="61"/>
        <v>739115.51237261307</v>
      </c>
      <c r="J127" s="211">
        <f t="shared" si="61"/>
        <v>752789.14935150638</v>
      </c>
      <c r="K127" s="211">
        <f t="shared" si="61"/>
        <v>766715.74861450924</v>
      </c>
      <c r="L127" s="211">
        <f t="shared" si="61"/>
        <v>780899.9899638776</v>
      </c>
      <c r="M127" s="211">
        <f t="shared" si="61"/>
        <v>795346.63977820927</v>
      </c>
      <c r="N127" s="211">
        <f t="shared" si="61"/>
        <v>810060.5526141061</v>
      </c>
      <c r="O127" s="211">
        <f t="shared" si="61"/>
        <v>825046.67283746705</v>
      </c>
      <c r="P127" s="211">
        <f t="shared" si="61"/>
        <v>840310.03628496011</v>
      </c>
      <c r="Q127" s="211">
        <f t="shared" si="61"/>
        <v>855855.77195623179</v>
      </c>
      <c r="R127" s="211">
        <f t="shared" si="61"/>
        <v>871689.10373742203</v>
      </c>
      <c r="S127" s="212">
        <f t="shared" si="61"/>
        <v>887815.35215656436</v>
      </c>
      <c r="T127" s="224"/>
      <c r="U127" s="224"/>
      <c r="V127" s="224"/>
      <c r="W127" s="224"/>
      <c r="X127" s="224"/>
      <c r="Y127" s="224"/>
      <c r="Z127" s="224"/>
      <c r="AA127" s="224"/>
      <c r="AB127" s="224"/>
      <c r="AC127" s="224"/>
    </row>
    <row r="128" spans="2:29" ht="14.25" hidden="1" x14ac:dyDescent="0.3">
      <c r="B128" s="202"/>
      <c r="C128" s="205" t="str">
        <f t="shared" si="53"/>
        <v>Staniční dozorce</v>
      </c>
      <c r="D128" s="206"/>
      <c r="E128" s="210">
        <f t="shared" si="55"/>
        <v>788865.66344660323</v>
      </c>
      <c r="F128" s="211">
        <f t="shared" si="56"/>
        <v>803459.67822036531</v>
      </c>
      <c r="G128" s="211">
        <f t="shared" ref="G128:S128" si="62">F128*(1+G$121)</f>
        <v>818323.682267442</v>
      </c>
      <c r="H128" s="211">
        <f t="shared" si="62"/>
        <v>833462.67038938962</v>
      </c>
      <c r="I128" s="211">
        <f t="shared" si="62"/>
        <v>848881.72979159327</v>
      </c>
      <c r="J128" s="211">
        <f t="shared" si="62"/>
        <v>864586.04179273767</v>
      </c>
      <c r="K128" s="211">
        <f t="shared" si="62"/>
        <v>880580.88356590329</v>
      </c>
      <c r="L128" s="211">
        <f t="shared" si="62"/>
        <v>896871.62991187244</v>
      </c>
      <c r="M128" s="211">
        <f t="shared" si="62"/>
        <v>913463.75506524206</v>
      </c>
      <c r="N128" s="211">
        <f t="shared" si="62"/>
        <v>930362.83453394903</v>
      </c>
      <c r="O128" s="211">
        <f t="shared" si="62"/>
        <v>947574.54697282705</v>
      </c>
      <c r="P128" s="211">
        <f t="shared" si="62"/>
        <v>965104.67609182431</v>
      </c>
      <c r="Q128" s="211">
        <f t="shared" si="62"/>
        <v>982959.11259952304</v>
      </c>
      <c r="R128" s="211">
        <f t="shared" si="62"/>
        <v>1001143.8561826142</v>
      </c>
      <c r="S128" s="212">
        <f t="shared" si="62"/>
        <v>1019665.0175219926</v>
      </c>
      <c r="T128" s="224"/>
      <c r="U128" s="224"/>
      <c r="V128" s="224"/>
      <c r="W128" s="224"/>
      <c r="X128" s="224"/>
      <c r="Y128" s="224"/>
      <c r="Z128" s="224"/>
      <c r="AA128" s="224"/>
      <c r="AB128" s="224"/>
      <c r="AC128" s="224"/>
    </row>
    <row r="129" spans="2:29" ht="14.25" hidden="1" x14ac:dyDescent="0.3">
      <c r="B129" s="202"/>
      <c r="C129" s="205" t="str">
        <f t="shared" si="53"/>
        <v>Dozorce výhybek</v>
      </c>
      <c r="D129" s="206"/>
      <c r="E129" s="210">
        <f t="shared" si="55"/>
        <v>755640.36961721256</v>
      </c>
      <c r="F129" s="211">
        <f t="shared" si="56"/>
        <v>769619.71645513095</v>
      </c>
      <c r="G129" s="211">
        <f t="shared" ref="G129:S129" si="63">F129*(1+G$121)</f>
        <v>783857.68120955082</v>
      </c>
      <c r="H129" s="211">
        <f t="shared" si="63"/>
        <v>798359.04831192747</v>
      </c>
      <c r="I129" s="211">
        <f t="shared" si="63"/>
        <v>813128.6907056981</v>
      </c>
      <c r="J129" s="211">
        <f t="shared" si="63"/>
        <v>828171.57148375351</v>
      </c>
      <c r="K129" s="211">
        <f t="shared" si="63"/>
        <v>843492.74555620295</v>
      </c>
      <c r="L129" s="211">
        <f t="shared" si="63"/>
        <v>859097.36134899268</v>
      </c>
      <c r="M129" s="211">
        <f t="shared" si="63"/>
        <v>874990.66253394901</v>
      </c>
      <c r="N129" s="211">
        <f t="shared" si="63"/>
        <v>891177.98979082704</v>
      </c>
      <c r="O129" s="211">
        <f t="shared" si="63"/>
        <v>907664.78260195733</v>
      </c>
      <c r="P129" s="211">
        <f t="shared" si="63"/>
        <v>924456.58108009351</v>
      </c>
      <c r="Q129" s="211">
        <f t="shared" si="63"/>
        <v>941559.02783007524</v>
      </c>
      <c r="R129" s="211">
        <f t="shared" si="63"/>
        <v>958977.86984493164</v>
      </c>
      <c r="S129" s="212">
        <f t="shared" si="63"/>
        <v>976718.96043706289</v>
      </c>
      <c r="T129" s="224"/>
      <c r="U129" s="224"/>
      <c r="V129" s="224"/>
      <c r="W129" s="224"/>
      <c r="X129" s="224"/>
      <c r="Y129" s="224"/>
      <c r="Z129" s="224"/>
      <c r="AA129" s="224"/>
      <c r="AB129" s="224"/>
      <c r="AC129" s="224"/>
    </row>
    <row r="130" spans="2:29" ht="14.25" hidden="1" x14ac:dyDescent="0.3">
      <c r="B130" s="202"/>
      <c r="C130" s="205" t="str">
        <f t="shared" si="53"/>
        <v>Závorář</v>
      </c>
      <c r="D130" s="206"/>
      <c r="E130" s="210">
        <f t="shared" si="55"/>
        <v>664878.23619183421</v>
      </c>
      <c r="F130" s="211">
        <f t="shared" si="56"/>
        <v>677178.48356138309</v>
      </c>
      <c r="G130" s="211">
        <f t="shared" ref="G130:S130" si="64">F130*(1+G$121)</f>
        <v>689706.28550726862</v>
      </c>
      <c r="H130" s="211">
        <f t="shared" si="64"/>
        <v>702465.85178915306</v>
      </c>
      <c r="I130" s="211">
        <f t="shared" si="64"/>
        <v>715461.47004725237</v>
      </c>
      <c r="J130" s="211">
        <f t="shared" si="64"/>
        <v>728697.50724312651</v>
      </c>
      <c r="K130" s="211">
        <f t="shared" si="64"/>
        <v>742178.41112712433</v>
      </c>
      <c r="L130" s="211">
        <f t="shared" si="64"/>
        <v>755908.71173297614</v>
      </c>
      <c r="M130" s="211">
        <f t="shared" si="64"/>
        <v>769893.02290003619</v>
      </c>
      <c r="N130" s="211">
        <f t="shared" si="64"/>
        <v>784136.04382368678</v>
      </c>
      <c r="O130" s="211">
        <f t="shared" si="64"/>
        <v>798642.56063442491</v>
      </c>
      <c r="P130" s="211">
        <f t="shared" si="64"/>
        <v>813417.44800616172</v>
      </c>
      <c r="Q130" s="211">
        <f t="shared" si="64"/>
        <v>828465.67079427571</v>
      </c>
      <c r="R130" s="211">
        <f t="shared" si="64"/>
        <v>843792.28570396977</v>
      </c>
      <c r="S130" s="212">
        <f t="shared" si="64"/>
        <v>859402.44298949314</v>
      </c>
      <c r="T130" s="224"/>
      <c r="U130" s="224"/>
      <c r="V130" s="224"/>
      <c r="W130" s="224"/>
      <c r="X130" s="224"/>
      <c r="Y130" s="224"/>
      <c r="Z130" s="224"/>
      <c r="AA130" s="224"/>
      <c r="AB130" s="224"/>
      <c r="AC130" s="224"/>
    </row>
    <row r="131" spans="2:29" ht="14.25" hidden="1" x14ac:dyDescent="0.3">
      <c r="B131" s="202"/>
      <c r="C131" s="205" t="str">
        <f t="shared" si="53"/>
        <v>Závorář s prodejem jízdenek</v>
      </c>
      <c r="D131" s="206"/>
      <c r="E131" s="210">
        <f t="shared" si="55"/>
        <v>677704.88042875053</v>
      </c>
      <c r="F131" s="211">
        <f t="shared" si="56"/>
        <v>690242.42071668245</v>
      </c>
      <c r="G131" s="211">
        <f t="shared" ref="G131:S131" si="65">F131*(1+G$121)</f>
        <v>703011.90549994109</v>
      </c>
      <c r="H131" s="211">
        <f t="shared" si="65"/>
        <v>716017.62575169001</v>
      </c>
      <c r="I131" s="211">
        <f t="shared" si="65"/>
        <v>729263.95182809629</v>
      </c>
      <c r="J131" s="211">
        <f t="shared" si="65"/>
        <v>742755.33493691601</v>
      </c>
      <c r="K131" s="211">
        <f t="shared" si="65"/>
        <v>756496.3086332489</v>
      </c>
      <c r="L131" s="211">
        <f t="shared" si="65"/>
        <v>770491.49034296395</v>
      </c>
      <c r="M131" s="211">
        <f t="shared" si="65"/>
        <v>784745.58291430876</v>
      </c>
      <c r="N131" s="211">
        <f t="shared" si="65"/>
        <v>799263.37619822344</v>
      </c>
      <c r="O131" s="211">
        <f t="shared" si="65"/>
        <v>814049.7486578906</v>
      </c>
      <c r="P131" s="211">
        <f t="shared" si="65"/>
        <v>829109.66900806152</v>
      </c>
      <c r="Q131" s="211">
        <f t="shared" si="65"/>
        <v>844448.19788471062</v>
      </c>
      <c r="R131" s="211">
        <f t="shared" si="65"/>
        <v>860070.48954557779</v>
      </c>
      <c r="S131" s="212">
        <f t="shared" si="65"/>
        <v>875981.79360217089</v>
      </c>
      <c r="T131" s="224"/>
      <c r="U131" s="224"/>
      <c r="V131" s="224"/>
      <c r="W131" s="224"/>
      <c r="X131" s="224"/>
      <c r="Y131" s="224"/>
      <c r="Z131" s="224"/>
      <c r="AA131" s="224"/>
      <c r="AB131" s="224"/>
      <c r="AC131" s="224"/>
    </row>
    <row r="132" spans="2:29" ht="14.25" hidden="1" x14ac:dyDescent="0.3">
      <c r="B132" s="202"/>
      <c r="C132" s="205" t="str">
        <f t="shared" si="53"/>
        <v>Hradlář – hláskař</v>
      </c>
      <c r="D132" s="206"/>
      <c r="E132" s="210">
        <f t="shared" si="55"/>
        <v>724347.60133049078</v>
      </c>
      <c r="F132" s="211">
        <f t="shared" si="56"/>
        <v>737748.03195510479</v>
      </c>
      <c r="G132" s="211">
        <f t="shared" ref="G132:S132" si="66">F132*(1+G$121)</f>
        <v>751396.37054627424</v>
      </c>
      <c r="H132" s="211">
        <f t="shared" si="66"/>
        <v>765297.20340138033</v>
      </c>
      <c r="I132" s="211">
        <f t="shared" si="66"/>
        <v>779455.20166430587</v>
      </c>
      <c r="J132" s="211">
        <f t="shared" si="66"/>
        <v>793875.1228950955</v>
      </c>
      <c r="K132" s="211">
        <f t="shared" si="66"/>
        <v>808561.81266865472</v>
      </c>
      <c r="L132" s="211">
        <f t="shared" si="66"/>
        <v>823520.20620302483</v>
      </c>
      <c r="M132" s="211">
        <f t="shared" si="66"/>
        <v>838755.33001778077</v>
      </c>
      <c r="N132" s="211">
        <f t="shared" si="66"/>
        <v>854272.30362310971</v>
      </c>
      <c r="O132" s="211">
        <f t="shared" si="66"/>
        <v>870076.34124013723</v>
      </c>
      <c r="P132" s="211">
        <f t="shared" si="66"/>
        <v>886172.75355307979</v>
      </c>
      <c r="Q132" s="211">
        <f t="shared" si="66"/>
        <v>902566.9494938117</v>
      </c>
      <c r="R132" s="211">
        <f t="shared" si="66"/>
        <v>919264.43805944722</v>
      </c>
      <c r="S132" s="212">
        <f t="shared" si="66"/>
        <v>936270.83016354695</v>
      </c>
      <c r="T132" s="224"/>
      <c r="U132" s="224"/>
      <c r="V132" s="224"/>
      <c r="W132" s="224"/>
      <c r="X132" s="224"/>
      <c r="Y132" s="224"/>
      <c r="Z132" s="224"/>
      <c r="AA132" s="224"/>
      <c r="AB132" s="224"/>
      <c r="AC132" s="224"/>
    </row>
    <row r="133" spans="2:29" ht="14.25" hidden="1" x14ac:dyDescent="0.3">
      <c r="B133" s="202"/>
      <c r="C133" s="205" t="str">
        <f t="shared" si="53"/>
        <v>Hradlář – hláskař s prodejem jízdenek</v>
      </c>
      <c r="D133" s="206"/>
      <c r="E133" s="210">
        <f t="shared" si="55"/>
        <v>711466.87134103489</v>
      </c>
      <c r="F133" s="211">
        <f t="shared" si="56"/>
        <v>724629.00846084405</v>
      </c>
      <c r="G133" s="211">
        <f t="shared" ref="G133:S133" si="67">F133*(1+G$121)</f>
        <v>738034.6451173696</v>
      </c>
      <c r="H133" s="211">
        <f t="shared" si="67"/>
        <v>751688.28605204087</v>
      </c>
      <c r="I133" s="211">
        <f t="shared" si="67"/>
        <v>765594.51934400364</v>
      </c>
      <c r="J133" s="211">
        <f t="shared" si="67"/>
        <v>779758.01795186766</v>
      </c>
      <c r="K133" s="211">
        <f t="shared" si="67"/>
        <v>794183.54128397722</v>
      </c>
      <c r="L133" s="211">
        <f t="shared" si="67"/>
        <v>808875.93679773074</v>
      </c>
      <c r="M133" s="211">
        <f t="shared" si="67"/>
        <v>823840.14162848878</v>
      </c>
      <c r="N133" s="211">
        <f t="shared" si="67"/>
        <v>839081.18424861575</v>
      </c>
      <c r="O133" s="211">
        <f t="shared" si="67"/>
        <v>854604.18615721515</v>
      </c>
      <c r="P133" s="211">
        <f t="shared" si="67"/>
        <v>870414.36360112356</v>
      </c>
      <c r="Q133" s="211">
        <f t="shared" si="67"/>
        <v>886517.02932774427</v>
      </c>
      <c r="R133" s="211">
        <f t="shared" si="67"/>
        <v>902917.59437030752</v>
      </c>
      <c r="S133" s="212">
        <f t="shared" si="67"/>
        <v>919621.56986615818</v>
      </c>
      <c r="T133" s="224"/>
      <c r="U133" s="224"/>
      <c r="V133" s="224"/>
      <c r="W133" s="224"/>
      <c r="X133" s="224"/>
      <c r="Y133" s="224"/>
      <c r="Z133" s="224"/>
      <c r="AA133" s="224"/>
      <c r="AB133" s="224"/>
      <c r="AC133" s="224"/>
    </row>
    <row r="134" spans="2:29" ht="15" hidden="1" thickBot="1" x14ac:dyDescent="0.35">
      <c r="B134" s="518"/>
      <c r="C134" s="529" t="str">
        <f t="shared" si="53"/>
        <v>Dělník v dopravě – staniční dělník</v>
      </c>
      <c r="D134" s="530"/>
      <c r="E134" s="531">
        <f t="shared" si="55"/>
        <v>465068.82454015512</v>
      </c>
      <c r="F134" s="532">
        <f t="shared" si="56"/>
        <v>473672.59779414797</v>
      </c>
      <c r="G134" s="532">
        <f t="shared" ref="G134:S134" si="68">F134*(1+G$121)</f>
        <v>482435.54085333965</v>
      </c>
      <c r="H134" s="532">
        <f t="shared" si="68"/>
        <v>491360.59835912642</v>
      </c>
      <c r="I134" s="532">
        <f t="shared" si="68"/>
        <v>500450.76942877023</v>
      </c>
      <c r="J134" s="532">
        <f t="shared" si="68"/>
        <v>509709.10866320244</v>
      </c>
      <c r="K134" s="532">
        <f t="shared" si="68"/>
        <v>519138.72717347165</v>
      </c>
      <c r="L134" s="532">
        <f t="shared" si="68"/>
        <v>528742.79362618085</v>
      </c>
      <c r="M134" s="532">
        <f t="shared" si="68"/>
        <v>538524.53530826513</v>
      </c>
      <c r="N134" s="532">
        <f t="shared" si="68"/>
        <v>548487.23921146803</v>
      </c>
      <c r="O134" s="532">
        <f t="shared" si="68"/>
        <v>558634.25313688011</v>
      </c>
      <c r="P134" s="532">
        <f t="shared" si="68"/>
        <v>568968.98681991233</v>
      </c>
      <c r="Q134" s="532">
        <f t="shared" si="68"/>
        <v>579494.91307608073</v>
      </c>
      <c r="R134" s="532">
        <f t="shared" si="68"/>
        <v>590215.56896798825</v>
      </c>
      <c r="S134" s="533">
        <f t="shared" si="68"/>
        <v>601134.55699389603</v>
      </c>
      <c r="T134" s="224"/>
      <c r="U134" s="224"/>
      <c r="V134" s="224"/>
      <c r="W134" s="224"/>
      <c r="X134" s="224"/>
      <c r="Y134" s="224"/>
      <c r="Z134" s="224"/>
      <c r="AA134" s="224"/>
      <c r="AB134" s="224"/>
      <c r="AC134" s="224"/>
    </row>
    <row r="135" spans="2:29" ht="14.25" hidden="1" x14ac:dyDescent="0.3">
      <c r="B135" s="162"/>
      <c r="C135" s="139"/>
      <c r="D135" s="139"/>
      <c r="E135" s="159"/>
      <c r="F135" s="159"/>
      <c r="G135" s="165"/>
      <c r="H135" s="165"/>
      <c r="I135" s="165"/>
      <c r="J135" s="165"/>
      <c r="K135" s="139"/>
      <c r="L135" s="139"/>
      <c r="M135" s="139"/>
      <c r="N135" s="139"/>
      <c r="O135" s="139"/>
      <c r="P135" s="139"/>
      <c r="Q135" s="139"/>
      <c r="R135" s="139"/>
      <c r="S135" s="139"/>
      <c r="T135" s="224"/>
      <c r="U135" s="224"/>
      <c r="V135" s="224"/>
      <c r="W135" s="224"/>
      <c r="X135" s="224"/>
      <c r="Y135" s="224"/>
      <c r="Z135" s="224"/>
      <c r="AA135" s="224"/>
      <c r="AB135" s="224"/>
      <c r="AC135" s="224"/>
    </row>
    <row r="136" spans="2:29" ht="15" hidden="1" thickBot="1" x14ac:dyDescent="0.35">
      <c r="B136" s="162"/>
      <c r="C136" s="139"/>
      <c r="D136" s="139"/>
      <c r="E136" s="139"/>
      <c r="F136" s="139"/>
      <c r="G136" s="139"/>
      <c r="H136" s="139"/>
      <c r="I136" s="139"/>
      <c r="J136" s="139"/>
      <c r="K136" s="139"/>
      <c r="L136" s="139"/>
      <c r="M136" s="139"/>
      <c r="N136" s="139"/>
      <c r="O136" s="139"/>
      <c r="P136" s="139"/>
      <c r="Q136" s="139"/>
      <c r="R136" s="139"/>
      <c r="S136" s="139"/>
      <c r="T136" s="224"/>
      <c r="U136" s="224"/>
      <c r="V136" s="224"/>
      <c r="W136" s="224"/>
      <c r="X136" s="224"/>
      <c r="Y136" s="224"/>
      <c r="Z136" s="224"/>
      <c r="AA136" s="224"/>
      <c r="AB136" s="224"/>
      <c r="AC136" s="224"/>
    </row>
    <row r="137" spans="2:29" ht="14.25" hidden="1" x14ac:dyDescent="0.3">
      <c r="B137" s="185" t="s">
        <v>18</v>
      </c>
      <c r="C137" s="192" t="str">
        <f>IF('0 Úvod'!$M$10="English",Slovnik!$D$161,Slovnik!$C$161)</f>
        <v>Počty zaměstnanců</v>
      </c>
      <c r="D137" s="187"/>
      <c r="E137" s="1895">
        <f t="shared" ref="E137:S137" si="69">E102</f>
        <v>2026</v>
      </c>
      <c r="F137" s="1897">
        <f t="shared" si="69"/>
        <v>2027</v>
      </c>
      <c r="G137" s="1897">
        <f t="shared" si="69"/>
        <v>2028</v>
      </c>
      <c r="H137" s="1897">
        <f t="shared" si="69"/>
        <v>2029</v>
      </c>
      <c r="I137" s="1897">
        <f t="shared" si="69"/>
        <v>2030</v>
      </c>
      <c r="J137" s="1897">
        <f t="shared" si="69"/>
        <v>2031</v>
      </c>
      <c r="K137" s="1897">
        <f t="shared" si="69"/>
        <v>2032</v>
      </c>
      <c r="L137" s="1897">
        <f t="shared" si="69"/>
        <v>2033</v>
      </c>
      <c r="M137" s="1897">
        <f t="shared" si="69"/>
        <v>2034</v>
      </c>
      <c r="N137" s="1897">
        <f t="shared" si="69"/>
        <v>2035</v>
      </c>
      <c r="O137" s="1897">
        <f t="shared" si="69"/>
        <v>2036</v>
      </c>
      <c r="P137" s="1897">
        <f t="shared" si="69"/>
        <v>2037</v>
      </c>
      <c r="Q137" s="1897">
        <f t="shared" si="69"/>
        <v>2038</v>
      </c>
      <c r="R137" s="1897">
        <f t="shared" si="69"/>
        <v>2039</v>
      </c>
      <c r="S137" s="1913">
        <f t="shared" si="69"/>
        <v>2040</v>
      </c>
    </row>
    <row r="138" spans="2:29" ht="15" hidden="1" thickBot="1" x14ac:dyDescent="0.35">
      <c r="B138" s="188" t="s">
        <v>4</v>
      </c>
      <c r="C138" s="522" t="str">
        <f>IF('0 Úvod'!$M$10="English",Slovnik!$D$124,Slovnik!$C$124)</f>
        <v>Scénář s projektem</v>
      </c>
      <c r="D138" s="534"/>
      <c r="E138" s="1896"/>
      <c r="F138" s="1898"/>
      <c r="G138" s="1898"/>
      <c r="H138" s="1898"/>
      <c r="I138" s="1898"/>
      <c r="J138" s="1898"/>
      <c r="K138" s="1898"/>
      <c r="L138" s="1898"/>
      <c r="M138" s="1898"/>
      <c r="N138" s="1898"/>
      <c r="O138" s="1898"/>
      <c r="P138" s="1898"/>
      <c r="Q138" s="1898"/>
      <c r="R138" s="1898"/>
      <c r="S138" s="1914"/>
    </row>
    <row r="139" spans="2:29" ht="14.25" hidden="1" x14ac:dyDescent="0.3">
      <c r="B139" s="201"/>
      <c r="C139" s="216" t="str">
        <f t="shared" ref="C139:C151" si="70">C122</f>
        <v>Dozorčí provozu</v>
      </c>
      <c r="D139" s="217"/>
      <c r="E139" s="176"/>
      <c r="F139" s="176"/>
      <c r="G139" s="176"/>
      <c r="H139" s="176"/>
      <c r="I139" s="176"/>
      <c r="J139" s="176"/>
      <c r="K139" s="176"/>
      <c r="L139" s="176"/>
      <c r="M139" s="176"/>
      <c r="N139" s="176"/>
      <c r="O139" s="176"/>
      <c r="P139" s="176"/>
      <c r="Q139" s="176"/>
      <c r="R139" s="176"/>
      <c r="S139" s="176"/>
      <c r="T139" s="455"/>
    </row>
    <row r="140" spans="2:29" ht="14.25" hidden="1" x14ac:dyDescent="0.3">
      <c r="B140" s="218"/>
      <c r="C140" s="219" t="str">
        <f t="shared" si="70"/>
        <v>Výpravčí</v>
      </c>
      <c r="D140" s="220"/>
      <c r="E140" s="176"/>
      <c r="F140" s="176"/>
      <c r="G140" s="176"/>
      <c r="H140" s="176"/>
      <c r="I140" s="176"/>
      <c r="J140" s="176"/>
      <c r="K140" s="176"/>
      <c r="L140" s="176"/>
      <c r="M140" s="176"/>
      <c r="N140" s="176"/>
      <c r="O140" s="176"/>
      <c r="P140" s="176"/>
      <c r="Q140" s="176"/>
      <c r="R140" s="176"/>
      <c r="S140" s="176"/>
      <c r="T140" s="455"/>
    </row>
    <row r="141" spans="2:29" ht="14.25" hidden="1" x14ac:dyDescent="0.3">
      <c r="B141" s="218"/>
      <c r="C141" s="219" t="str">
        <f t="shared" si="70"/>
        <v>Dozorčí provozu – vedoucí směny</v>
      </c>
      <c r="D141" s="220"/>
      <c r="E141" s="176"/>
      <c r="F141" s="176"/>
      <c r="G141" s="176"/>
      <c r="H141" s="176"/>
      <c r="I141" s="176"/>
      <c r="J141" s="176"/>
      <c r="K141" s="176"/>
      <c r="L141" s="176"/>
      <c r="M141" s="176"/>
      <c r="N141" s="176"/>
      <c r="O141" s="176"/>
      <c r="P141" s="176"/>
      <c r="Q141" s="176"/>
      <c r="R141" s="176"/>
      <c r="S141" s="176"/>
      <c r="T141" s="455"/>
    </row>
    <row r="142" spans="2:29" ht="14.25" hidden="1" x14ac:dyDescent="0.3">
      <c r="B142" s="218"/>
      <c r="C142" s="219" t="str">
        <f t="shared" si="70"/>
        <v>Operátor železniční dopravy</v>
      </c>
      <c r="D142" s="220"/>
      <c r="E142" s="176"/>
      <c r="F142" s="176"/>
      <c r="G142" s="176"/>
      <c r="H142" s="176"/>
      <c r="I142" s="176"/>
      <c r="J142" s="176"/>
      <c r="K142" s="176"/>
      <c r="L142" s="176"/>
      <c r="M142" s="176"/>
      <c r="N142" s="176"/>
      <c r="O142" s="176"/>
      <c r="P142" s="176"/>
      <c r="Q142" s="176"/>
      <c r="R142" s="176"/>
      <c r="S142" s="176"/>
      <c r="T142" s="455"/>
    </row>
    <row r="143" spans="2:29" ht="14.25" hidden="1" x14ac:dyDescent="0.3">
      <c r="B143" s="218"/>
      <c r="C143" s="219" t="str">
        <f t="shared" si="70"/>
        <v>Signalista</v>
      </c>
      <c r="D143" s="220"/>
      <c r="E143" s="176"/>
      <c r="F143" s="176"/>
      <c r="G143" s="176"/>
      <c r="H143" s="176"/>
      <c r="I143" s="176"/>
      <c r="J143" s="176"/>
      <c r="K143" s="176"/>
      <c r="L143" s="176"/>
      <c r="M143" s="176"/>
      <c r="N143" s="176"/>
      <c r="O143" s="176"/>
      <c r="P143" s="176"/>
      <c r="Q143" s="176"/>
      <c r="R143" s="176"/>
      <c r="S143" s="176"/>
      <c r="T143" s="455"/>
    </row>
    <row r="144" spans="2:29" ht="14.25" hidden="1" x14ac:dyDescent="0.3">
      <c r="B144" s="218"/>
      <c r="C144" s="219" t="str">
        <f t="shared" si="70"/>
        <v>Výhybkář</v>
      </c>
      <c r="D144" s="220"/>
      <c r="E144" s="176"/>
      <c r="F144" s="176"/>
      <c r="G144" s="176"/>
      <c r="H144" s="176"/>
      <c r="I144" s="176"/>
      <c r="J144" s="176"/>
      <c r="K144" s="176"/>
      <c r="L144" s="176"/>
      <c r="M144" s="176"/>
      <c r="N144" s="176"/>
      <c r="O144" s="176"/>
      <c r="P144" s="176"/>
      <c r="Q144" s="176"/>
      <c r="R144" s="176"/>
      <c r="S144" s="176"/>
      <c r="T144" s="455"/>
    </row>
    <row r="145" spans="2:20" ht="14.25" hidden="1" x14ac:dyDescent="0.3">
      <c r="B145" s="218"/>
      <c r="C145" s="219" t="str">
        <f t="shared" si="70"/>
        <v>Staniční dozorce</v>
      </c>
      <c r="D145" s="220"/>
      <c r="E145" s="176"/>
      <c r="F145" s="176"/>
      <c r="G145" s="176"/>
      <c r="H145" s="176"/>
      <c r="I145" s="176"/>
      <c r="J145" s="176"/>
      <c r="K145" s="176"/>
      <c r="L145" s="176"/>
      <c r="M145" s="176"/>
      <c r="N145" s="176"/>
      <c r="O145" s="176"/>
      <c r="P145" s="176"/>
      <c r="Q145" s="176"/>
      <c r="R145" s="176"/>
      <c r="S145" s="176"/>
      <c r="T145" s="455"/>
    </row>
    <row r="146" spans="2:20" ht="14.25" hidden="1" x14ac:dyDescent="0.3">
      <c r="B146" s="218"/>
      <c r="C146" s="219" t="str">
        <f t="shared" si="70"/>
        <v>Dozorce výhybek</v>
      </c>
      <c r="D146" s="220"/>
      <c r="E146" s="176"/>
      <c r="F146" s="176"/>
      <c r="G146" s="176"/>
      <c r="H146" s="176"/>
      <c r="I146" s="176"/>
      <c r="J146" s="176"/>
      <c r="K146" s="176"/>
      <c r="L146" s="176"/>
      <c r="M146" s="176"/>
      <c r="N146" s="176"/>
      <c r="O146" s="176"/>
      <c r="P146" s="176"/>
      <c r="Q146" s="176"/>
      <c r="R146" s="176"/>
      <c r="S146" s="176"/>
      <c r="T146" s="455"/>
    </row>
    <row r="147" spans="2:20" ht="14.25" hidden="1" x14ac:dyDescent="0.3">
      <c r="B147" s="218"/>
      <c r="C147" s="219" t="str">
        <f t="shared" si="70"/>
        <v>Závorář</v>
      </c>
      <c r="D147" s="220"/>
      <c r="E147" s="176"/>
      <c r="F147" s="176"/>
      <c r="G147" s="176"/>
      <c r="H147" s="176"/>
      <c r="I147" s="176"/>
      <c r="J147" s="176"/>
      <c r="K147" s="176"/>
      <c r="L147" s="176"/>
      <c r="M147" s="176"/>
      <c r="N147" s="176"/>
      <c r="O147" s="176"/>
      <c r="P147" s="176"/>
      <c r="Q147" s="176"/>
      <c r="R147" s="176"/>
      <c r="S147" s="176"/>
      <c r="T147" s="455"/>
    </row>
    <row r="148" spans="2:20" ht="14.25" hidden="1" x14ac:dyDescent="0.3">
      <c r="B148" s="218"/>
      <c r="C148" s="221" t="str">
        <f t="shared" si="70"/>
        <v>Závorář s prodejem jízdenek</v>
      </c>
      <c r="D148" s="220"/>
      <c r="E148" s="176"/>
      <c r="F148" s="176"/>
      <c r="G148" s="176"/>
      <c r="H148" s="176"/>
      <c r="I148" s="176"/>
      <c r="J148" s="176"/>
      <c r="K148" s="176"/>
      <c r="L148" s="176"/>
      <c r="M148" s="176"/>
      <c r="N148" s="176"/>
      <c r="O148" s="176"/>
      <c r="P148" s="176"/>
      <c r="Q148" s="176"/>
      <c r="R148" s="176"/>
      <c r="S148" s="176"/>
      <c r="T148" s="455"/>
    </row>
    <row r="149" spans="2:20" ht="14.25" hidden="1" x14ac:dyDescent="0.3">
      <c r="B149" s="218"/>
      <c r="C149" s="221" t="str">
        <f t="shared" si="70"/>
        <v>Hradlář – hláskař</v>
      </c>
      <c r="D149" s="220"/>
      <c r="E149" s="176"/>
      <c r="F149" s="176"/>
      <c r="G149" s="176"/>
      <c r="H149" s="176"/>
      <c r="I149" s="176"/>
      <c r="J149" s="176"/>
      <c r="K149" s="176"/>
      <c r="L149" s="176"/>
      <c r="M149" s="176"/>
      <c r="N149" s="176"/>
      <c r="O149" s="176"/>
      <c r="P149" s="176"/>
      <c r="Q149" s="176"/>
      <c r="R149" s="176"/>
      <c r="S149" s="176"/>
      <c r="T149" s="455"/>
    </row>
    <row r="150" spans="2:20" ht="14.25" hidden="1" x14ac:dyDescent="0.3">
      <c r="B150" s="218"/>
      <c r="C150" s="221" t="str">
        <f t="shared" si="70"/>
        <v>Hradlář – hláskař s prodejem jízdenek</v>
      </c>
      <c r="D150" s="220"/>
      <c r="E150" s="176"/>
      <c r="F150" s="176"/>
      <c r="G150" s="176"/>
      <c r="H150" s="176"/>
      <c r="I150" s="176"/>
      <c r="J150" s="176"/>
      <c r="K150" s="176"/>
      <c r="L150" s="176"/>
      <c r="M150" s="176"/>
      <c r="N150" s="176"/>
      <c r="O150" s="176"/>
      <c r="P150" s="176"/>
      <c r="Q150" s="176"/>
      <c r="R150" s="176"/>
      <c r="S150" s="176"/>
      <c r="T150" s="455"/>
    </row>
    <row r="151" spans="2:20" ht="14.25" hidden="1" x14ac:dyDescent="0.3">
      <c r="B151" s="535"/>
      <c r="C151" s="536" t="str">
        <f t="shared" si="70"/>
        <v>Dělník v dopravě – staniční dělník</v>
      </c>
      <c r="D151" s="220"/>
      <c r="E151" s="176"/>
      <c r="F151" s="176"/>
      <c r="G151" s="176"/>
      <c r="H151" s="176"/>
      <c r="I151" s="176"/>
      <c r="J151" s="176"/>
      <c r="K151" s="176"/>
      <c r="L151" s="176"/>
      <c r="M151" s="176"/>
      <c r="N151" s="176"/>
      <c r="O151" s="176"/>
      <c r="P151" s="176"/>
      <c r="Q151" s="176"/>
      <c r="R151" s="176"/>
      <c r="S151" s="176"/>
      <c r="T151" s="455"/>
    </row>
    <row r="152" spans="2:20" ht="15" hidden="1" thickBot="1" x14ac:dyDescent="0.35">
      <c r="B152" s="194"/>
      <c r="C152" s="537" t="str">
        <f>IF('0 Úvod'!$M$10="English",Slovnik!$D$133,Slovnik!$C$133)</f>
        <v>Celkem</v>
      </c>
      <c r="D152" s="457"/>
      <c r="E152" s="195">
        <f t="shared" ref="E152:S152" si="71">SUM(E139:E151)</f>
        <v>0</v>
      </c>
      <c r="F152" s="463">
        <f t="shared" si="71"/>
        <v>0</v>
      </c>
      <c r="G152" s="463">
        <f t="shared" si="71"/>
        <v>0</v>
      </c>
      <c r="H152" s="463">
        <f t="shared" si="71"/>
        <v>0</v>
      </c>
      <c r="I152" s="463">
        <f t="shared" si="71"/>
        <v>0</v>
      </c>
      <c r="J152" s="463">
        <f t="shared" si="71"/>
        <v>0</v>
      </c>
      <c r="K152" s="463">
        <f t="shared" si="71"/>
        <v>0</v>
      </c>
      <c r="L152" s="463">
        <f t="shared" si="71"/>
        <v>0</v>
      </c>
      <c r="M152" s="463">
        <f t="shared" si="71"/>
        <v>0</v>
      </c>
      <c r="N152" s="463">
        <f t="shared" si="71"/>
        <v>0</v>
      </c>
      <c r="O152" s="463">
        <f t="shared" si="71"/>
        <v>0</v>
      </c>
      <c r="P152" s="463">
        <f t="shared" si="71"/>
        <v>0</v>
      </c>
      <c r="Q152" s="463">
        <f t="shared" si="71"/>
        <v>0</v>
      </c>
      <c r="R152" s="463">
        <f t="shared" si="71"/>
        <v>0</v>
      </c>
      <c r="S152" s="464">
        <f t="shared" si="71"/>
        <v>0</v>
      </c>
      <c r="T152" s="455"/>
    </row>
    <row r="153" spans="2:20" ht="15" hidden="1" thickBot="1" x14ac:dyDescent="0.35">
      <c r="B153" s="222"/>
      <c r="C153" s="538" t="str">
        <f>IF('0 Úvod'!$M$10="English",Slovnik!$D$162,Slovnik!$C$162)</f>
        <v>Odstupné</v>
      </c>
      <c r="D153" s="458"/>
      <c r="E153" s="467">
        <f>SUMPRODUCT($E$88:$E$100*(E$105/$D$88)/4,E139:E151-F139:F151)</f>
        <v>0</v>
      </c>
      <c r="F153" s="468">
        <f t="shared" ref="F153:R153" si="72">SUMPRODUCT($E$88:$E$100*(F$105/$D$88)/4,F139:F151-G139:G151)</f>
        <v>0</v>
      </c>
      <c r="G153" s="468">
        <f t="shared" si="72"/>
        <v>0</v>
      </c>
      <c r="H153" s="468">
        <f t="shared" si="72"/>
        <v>0</v>
      </c>
      <c r="I153" s="468">
        <f t="shared" si="72"/>
        <v>0</v>
      </c>
      <c r="J153" s="468">
        <f t="shared" si="72"/>
        <v>0</v>
      </c>
      <c r="K153" s="468">
        <f t="shared" si="72"/>
        <v>0</v>
      </c>
      <c r="L153" s="468">
        <f t="shared" si="72"/>
        <v>0</v>
      </c>
      <c r="M153" s="468">
        <f t="shared" si="72"/>
        <v>0</v>
      </c>
      <c r="N153" s="468">
        <f t="shared" si="72"/>
        <v>0</v>
      </c>
      <c r="O153" s="468">
        <f>SUMPRODUCT($E$88:$E$100*(O$105/$D$88)/4,O139:O151-P139:P151)</f>
        <v>0</v>
      </c>
      <c r="P153" s="468">
        <f t="shared" si="72"/>
        <v>0</v>
      </c>
      <c r="Q153" s="468">
        <f t="shared" si="72"/>
        <v>0</v>
      </c>
      <c r="R153" s="468">
        <f t="shared" si="72"/>
        <v>0</v>
      </c>
      <c r="S153" s="469">
        <f>SUMPRODUCT($E$88:$E$100*(S$105/$D$88)/4,S139:S151-E157:E169)</f>
        <v>0</v>
      </c>
      <c r="T153" s="455"/>
    </row>
    <row r="154" spans="2:20" ht="14.25" hidden="1" thickBot="1" x14ac:dyDescent="0.35">
      <c r="B154" s="166"/>
      <c r="C154" s="139"/>
      <c r="D154" s="141"/>
      <c r="E154" s="141"/>
      <c r="F154" s="141"/>
      <c r="G154" s="141"/>
      <c r="H154" s="141"/>
      <c r="I154" s="141"/>
      <c r="J154" s="141"/>
      <c r="K154" s="141"/>
      <c r="L154" s="141"/>
      <c r="M154" s="141"/>
      <c r="N154" s="141"/>
      <c r="O154" s="141"/>
      <c r="P154" s="141"/>
      <c r="Q154" s="141"/>
      <c r="R154" s="141"/>
      <c r="S154" s="141"/>
    </row>
    <row r="155" spans="2:20" ht="14.25" hidden="1" x14ac:dyDescent="0.3">
      <c r="B155" s="193" t="str">
        <f>B137</f>
        <v>3.6.</v>
      </c>
      <c r="C155" s="190" t="str">
        <f>C137</f>
        <v>Počty zaměstnanců</v>
      </c>
      <c r="D155" s="191"/>
      <c r="E155" s="1895">
        <f t="shared" ref="E155:S155" si="73">E119</f>
        <v>2041</v>
      </c>
      <c r="F155" s="1897">
        <f t="shared" si="73"/>
        <v>2042</v>
      </c>
      <c r="G155" s="1897">
        <f t="shared" si="73"/>
        <v>2043</v>
      </c>
      <c r="H155" s="1897">
        <f t="shared" si="73"/>
        <v>2044</v>
      </c>
      <c r="I155" s="1897">
        <f t="shared" si="73"/>
        <v>2045</v>
      </c>
      <c r="J155" s="1897">
        <f t="shared" si="73"/>
        <v>2046</v>
      </c>
      <c r="K155" s="1897">
        <f t="shared" si="73"/>
        <v>2047</v>
      </c>
      <c r="L155" s="1897">
        <f t="shared" si="73"/>
        <v>2048</v>
      </c>
      <c r="M155" s="1897">
        <f t="shared" si="73"/>
        <v>2049</v>
      </c>
      <c r="N155" s="1897">
        <f t="shared" si="73"/>
        <v>2050</v>
      </c>
      <c r="O155" s="1897">
        <f t="shared" si="73"/>
        <v>2051</v>
      </c>
      <c r="P155" s="1897">
        <f t="shared" si="73"/>
        <v>2052</v>
      </c>
      <c r="Q155" s="1897">
        <f t="shared" si="73"/>
        <v>2053</v>
      </c>
      <c r="R155" s="1897">
        <f t="shared" si="73"/>
        <v>2054</v>
      </c>
      <c r="S155" s="1913">
        <f t="shared" si="73"/>
        <v>2055</v>
      </c>
    </row>
    <row r="156" spans="2:20" ht="15" hidden="1" thickBot="1" x14ac:dyDescent="0.35">
      <c r="B156" s="188" t="s">
        <v>5</v>
      </c>
      <c r="C156" s="522" t="str">
        <f>C138</f>
        <v>Scénář s projektem</v>
      </c>
      <c r="D156" s="539"/>
      <c r="E156" s="1896"/>
      <c r="F156" s="1898"/>
      <c r="G156" s="1898"/>
      <c r="H156" s="1898"/>
      <c r="I156" s="1898"/>
      <c r="J156" s="1898"/>
      <c r="K156" s="1898"/>
      <c r="L156" s="1898"/>
      <c r="M156" s="1898"/>
      <c r="N156" s="1898"/>
      <c r="O156" s="1898"/>
      <c r="P156" s="1898"/>
      <c r="Q156" s="1898"/>
      <c r="R156" s="1898"/>
      <c r="S156" s="1914"/>
    </row>
    <row r="157" spans="2:20" ht="14.25" hidden="1" x14ac:dyDescent="0.3">
      <c r="B157" s="215"/>
      <c r="C157" s="216" t="str">
        <f t="shared" ref="C157:C169" si="74">C139</f>
        <v>Dozorčí provozu</v>
      </c>
      <c r="D157" s="217"/>
      <c r="E157" s="176"/>
      <c r="F157" s="176"/>
      <c r="G157" s="176"/>
      <c r="H157" s="176"/>
      <c r="I157" s="176"/>
      <c r="J157" s="176"/>
      <c r="K157" s="176"/>
      <c r="L157" s="176"/>
      <c r="M157" s="176"/>
      <c r="N157" s="176"/>
      <c r="O157" s="176"/>
      <c r="P157" s="176"/>
      <c r="Q157" s="176"/>
      <c r="R157" s="176"/>
      <c r="S157" s="176"/>
      <c r="T157" s="455"/>
    </row>
    <row r="158" spans="2:20" ht="14.25" hidden="1" x14ac:dyDescent="0.3">
      <c r="B158" s="218"/>
      <c r="C158" s="219" t="str">
        <f t="shared" si="74"/>
        <v>Výpravčí</v>
      </c>
      <c r="D158" s="220"/>
      <c r="E158" s="176"/>
      <c r="F158" s="176"/>
      <c r="G158" s="176"/>
      <c r="H158" s="176"/>
      <c r="I158" s="176"/>
      <c r="J158" s="176"/>
      <c r="K158" s="176"/>
      <c r="L158" s="176"/>
      <c r="M158" s="176"/>
      <c r="N158" s="176"/>
      <c r="O158" s="176"/>
      <c r="P158" s="176"/>
      <c r="Q158" s="176"/>
      <c r="R158" s="176"/>
      <c r="S158" s="176"/>
      <c r="T158" s="455"/>
    </row>
    <row r="159" spans="2:20" ht="14.25" hidden="1" x14ac:dyDescent="0.3">
      <c r="B159" s="218"/>
      <c r="C159" s="219" t="str">
        <f t="shared" si="74"/>
        <v>Dozorčí provozu – vedoucí směny</v>
      </c>
      <c r="D159" s="220"/>
      <c r="E159" s="176"/>
      <c r="F159" s="176"/>
      <c r="G159" s="176"/>
      <c r="H159" s="176"/>
      <c r="I159" s="176"/>
      <c r="J159" s="176"/>
      <c r="K159" s="176"/>
      <c r="L159" s="176"/>
      <c r="M159" s="176"/>
      <c r="N159" s="176"/>
      <c r="O159" s="176"/>
      <c r="P159" s="176"/>
      <c r="Q159" s="176"/>
      <c r="R159" s="176"/>
      <c r="S159" s="176"/>
      <c r="T159" s="455"/>
    </row>
    <row r="160" spans="2:20" ht="14.25" hidden="1" x14ac:dyDescent="0.3">
      <c r="B160" s="218"/>
      <c r="C160" s="219" t="str">
        <f t="shared" si="74"/>
        <v>Operátor železniční dopravy</v>
      </c>
      <c r="D160" s="220"/>
      <c r="E160" s="176"/>
      <c r="F160" s="176"/>
      <c r="G160" s="176"/>
      <c r="H160" s="176"/>
      <c r="I160" s="176"/>
      <c r="J160" s="176"/>
      <c r="K160" s="176"/>
      <c r="L160" s="176"/>
      <c r="M160" s="176"/>
      <c r="N160" s="176"/>
      <c r="O160" s="176"/>
      <c r="P160" s="176"/>
      <c r="Q160" s="176"/>
      <c r="R160" s="176"/>
      <c r="S160" s="176"/>
      <c r="T160" s="455"/>
    </row>
    <row r="161" spans="2:29" ht="14.25" hidden="1" x14ac:dyDescent="0.3">
      <c r="B161" s="218"/>
      <c r="C161" s="219" t="str">
        <f t="shared" si="74"/>
        <v>Signalista</v>
      </c>
      <c r="D161" s="220"/>
      <c r="E161" s="176"/>
      <c r="F161" s="176"/>
      <c r="G161" s="176"/>
      <c r="H161" s="176"/>
      <c r="I161" s="176"/>
      <c r="J161" s="176"/>
      <c r="K161" s="176"/>
      <c r="L161" s="176"/>
      <c r="M161" s="176"/>
      <c r="N161" s="176"/>
      <c r="O161" s="176"/>
      <c r="P161" s="176"/>
      <c r="Q161" s="176"/>
      <c r="R161" s="176"/>
      <c r="S161" s="176"/>
      <c r="T161" s="455"/>
    </row>
    <row r="162" spans="2:29" ht="14.25" hidden="1" x14ac:dyDescent="0.3">
      <c r="B162" s="218"/>
      <c r="C162" s="219" t="str">
        <f t="shared" si="74"/>
        <v>Výhybkář</v>
      </c>
      <c r="D162" s="220"/>
      <c r="E162" s="176"/>
      <c r="F162" s="176"/>
      <c r="G162" s="176"/>
      <c r="H162" s="176"/>
      <c r="I162" s="176"/>
      <c r="J162" s="176"/>
      <c r="K162" s="176"/>
      <c r="L162" s="176"/>
      <c r="M162" s="176"/>
      <c r="N162" s="176"/>
      <c r="O162" s="176"/>
      <c r="P162" s="176"/>
      <c r="Q162" s="176"/>
      <c r="R162" s="176"/>
      <c r="S162" s="176"/>
      <c r="T162" s="455"/>
    </row>
    <row r="163" spans="2:29" ht="14.25" hidden="1" x14ac:dyDescent="0.3">
      <c r="B163" s="218"/>
      <c r="C163" s="219" t="str">
        <f t="shared" si="74"/>
        <v>Staniční dozorce</v>
      </c>
      <c r="D163" s="220"/>
      <c r="E163" s="176"/>
      <c r="F163" s="176"/>
      <c r="G163" s="176"/>
      <c r="H163" s="176"/>
      <c r="I163" s="176"/>
      <c r="J163" s="176"/>
      <c r="K163" s="176"/>
      <c r="L163" s="176"/>
      <c r="M163" s="176"/>
      <c r="N163" s="176"/>
      <c r="O163" s="176"/>
      <c r="P163" s="176"/>
      <c r="Q163" s="176"/>
      <c r="R163" s="176"/>
      <c r="S163" s="176"/>
      <c r="T163" s="455"/>
    </row>
    <row r="164" spans="2:29" ht="14.25" hidden="1" x14ac:dyDescent="0.3">
      <c r="B164" s="218"/>
      <c r="C164" s="219" t="str">
        <f t="shared" si="74"/>
        <v>Dozorce výhybek</v>
      </c>
      <c r="D164" s="220"/>
      <c r="E164" s="176"/>
      <c r="F164" s="176"/>
      <c r="G164" s="176"/>
      <c r="H164" s="176"/>
      <c r="I164" s="176"/>
      <c r="J164" s="176"/>
      <c r="K164" s="176"/>
      <c r="L164" s="176"/>
      <c r="M164" s="176"/>
      <c r="N164" s="176"/>
      <c r="O164" s="176"/>
      <c r="P164" s="176"/>
      <c r="Q164" s="176"/>
      <c r="R164" s="176"/>
      <c r="S164" s="176"/>
      <c r="T164" s="455"/>
    </row>
    <row r="165" spans="2:29" ht="14.25" hidden="1" x14ac:dyDescent="0.3">
      <c r="B165" s="218"/>
      <c r="C165" s="219" t="str">
        <f t="shared" si="74"/>
        <v>Závorář</v>
      </c>
      <c r="D165" s="220"/>
      <c r="E165" s="176"/>
      <c r="F165" s="176"/>
      <c r="G165" s="176"/>
      <c r="H165" s="176"/>
      <c r="I165" s="176"/>
      <c r="J165" s="176"/>
      <c r="K165" s="176"/>
      <c r="L165" s="176"/>
      <c r="M165" s="176"/>
      <c r="N165" s="176"/>
      <c r="O165" s="176"/>
      <c r="P165" s="176"/>
      <c r="Q165" s="176"/>
      <c r="R165" s="176"/>
      <c r="S165" s="176"/>
      <c r="T165" s="455"/>
    </row>
    <row r="166" spans="2:29" ht="14.25" hidden="1" x14ac:dyDescent="0.3">
      <c r="B166" s="218"/>
      <c r="C166" s="221" t="str">
        <f t="shared" si="74"/>
        <v>Závorář s prodejem jízdenek</v>
      </c>
      <c r="D166" s="220"/>
      <c r="E166" s="176"/>
      <c r="F166" s="176"/>
      <c r="G166" s="176"/>
      <c r="H166" s="176"/>
      <c r="I166" s="176"/>
      <c r="J166" s="176"/>
      <c r="K166" s="176"/>
      <c r="L166" s="176"/>
      <c r="M166" s="176"/>
      <c r="N166" s="176"/>
      <c r="O166" s="176"/>
      <c r="P166" s="176"/>
      <c r="Q166" s="176"/>
      <c r="R166" s="176"/>
      <c r="S166" s="176"/>
      <c r="T166" s="455"/>
    </row>
    <row r="167" spans="2:29" ht="14.25" hidden="1" x14ac:dyDescent="0.3">
      <c r="B167" s="218"/>
      <c r="C167" s="221" t="str">
        <f t="shared" si="74"/>
        <v>Hradlář – hláskař</v>
      </c>
      <c r="D167" s="220"/>
      <c r="E167" s="176"/>
      <c r="F167" s="176"/>
      <c r="G167" s="176"/>
      <c r="H167" s="176"/>
      <c r="I167" s="176"/>
      <c r="J167" s="176"/>
      <c r="K167" s="176"/>
      <c r="L167" s="176"/>
      <c r="M167" s="176"/>
      <c r="N167" s="176"/>
      <c r="O167" s="176"/>
      <c r="P167" s="176"/>
      <c r="Q167" s="176"/>
      <c r="R167" s="176"/>
      <c r="S167" s="176"/>
      <c r="T167" s="455"/>
    </row>
    <row r="168" spans="2:29" ht="14.25" hidden="1" x14ac:dyDescent="0.3">
      <c r="B168" s="218"/>
      <c r="C168" s="221" t="str">
        <f t="shared" si="74"/>
        <v>Hradlář – hláskař s prodejem jízdenek</v>
      </c>
      <c r="D168" s="220"/>
      <c r="E168" s="176"/>
      <c r="F168" s="176"/>
      <c r="G168" s="176"/>
      <c r="H168" s="176"/>
      <c r="I168" s="176"/>
      <c r="J168" s="176"/>
      <c r="K168" s="176"/>
      <c r="L168" s="176"/>
      <c r="M168" s="176"/>
      <c r="N168" s="176"/>
      <c r="O168" s="176"/>
      <c r="P168" s="176"/>
      <c r="Q168" s="176"/>
      <c r="R168" s="176"/>
      <c r="S168" s="176"/>
      <c r="T168" s="455"/>
    </row>
    <row r="169" spans="2:29" ht="14.25" hidden="1" x14ac:dyDescent="0.3">
      <c r="B169" s="535"/>
      <c r="C169" s="205" t="str">
        <f t="shared" si="74"/>
        <v>Dělník v dopravě – staniční dělník</v>
      </c>
      <c r="D169" s="220"/>
      <c r="E169" s="176"/>
      <c r="F169" s="176"/>
      <c r="G169" s="176"/>
      <c r="H169" s="176"/>
      <c r="I169" s="176"/>
      <c r="J169" s="176"/>
      <c r="K169" s="176"/>
      <c r="L169" s="176"/>
      <c r="M169" s="176"/>
      <c r="N169" s="176"/>
      <c r="O169" s="176"/>
      <c r="P169" s="176"/>
      <c r="Q169" s="176"/>
      <c r="R169" s="176"/>
      <c r="S169" s="176"/>
      <c r="T169" s="455"/>
    </row>
    <row r="170" spans="2:29" ht="15" hidden="1" thickBot="1" x14ac:dyDescent="0.35">
      <c r="B170" s="194"/>
      <c r="C170" s="537" t="str">
        <f>C152</f>
        <v>Celkem</v>
      </c>
      <c r="D170" s="459"/>
      <c r="E170" s="195">
        <f>SUM(E157:E169)</f>
        <v>0</v>
      </c>
      <c r="F170" s="463">
        <f t="shared" ref="F170:S170" si="75">SUM(F157:F169)</f>
        <v>0</v>
      </c>
      <c r="G170" s="463">
        <f t="shared" si="75"/>
        <v>0</v>
      </c>
      <c r="H170" s="463">
        <f t="shared" si="75"/>
        <v>0</v>
      </c>
      <c r="I170" s="463">
        <f t="shared" si="75"/>
        <v>0</v>
      </c>
      <c r="J170" s="463">
        <f t="shared" si="75"/>
        <v>0</v>
      </c>
      <c r="K170" s="463">
        <f t="shared" si="75"/>
        <v>0</v>
      </c>
      <c r="L170" s="463">
        <f t="shared" si="75"/>
        <v>0</v>
      </c>
      <c r="M170" s="463">
        <f t="shared" si="75"/>
        <v>0</v>
      </c>
      <c r="N170" s="463">
        <f t="shared" si="75"/>
        <v>0</v>
      </c>
      <c r="O170" s="463">
        <f t="shared" si="75"/>
        <v>0</v>
      </c>
      <c r="P170" s="463">
        <f t="shared" si="75"/>
        <v>0</v>
      </c>
      <c r="Q170" s="463">
        <f t="shared" si="75"/>
        <v>0</v>
      </c>
      <c r="R170" s="463">
        <f t="shared" si="75"/>
        <v>0</v>
      </c>
      <c r="S170" s="464">
        <f t="shared" si="75"/>
        <v>0</v>
      </c>
      <c r="T170" s="455"/>
    </row>
    <row r="171" spans="2:29" ht="15" hidden="1" thickBot="1" x14ac:dyDescent="0.35">
      <c r="B171" s="222"/>
      <c r="C171" s="538" t="str">
        <f>C153</f>
        <v>Odstupné</v>
      </c>
      <c r="D171" s="458"/>
      <c r="E171" s="467">
        <f>SUMPRODUCT($E$88:$E$100*(E$122/$D$88)/4,E157:E169-F157:F169)</f>
        <v>0</v>
      </c>
      <c r="F171" s="468">
        <f t="shared" ref="F171:R171" si="76">SUMPRODUCT($E$88:$E$100*(F$122/$D$88)/4,F157:F169-G157:G169)</f>
        <v>0</v>
      </c>
      <c r="G171" s="468">
        <f t="shared" si="76"/>
        <v>0</v>
      </c>
      <c r="H171" s="468">
        <f t="shared" si="76"/>
        <v>0</v>
      </c>
      <c r="I171" s="468">
        <f t="shared" si="76"/>
        <v>0</v>
      </c>
      <c r="J171" s="468">
        <f t="shared" si="76"/>
        <v>0</v>
      </c>
      <c r="K171" s="468">
        <f t="shared" si="76"/>
        <v>0</v>
      </c>
      <c r="L171" s="468">
        <f t="shared" si="76"/>
        <v>0</v>
      </c>
      <c r="M171" s="468">
        <f t="shared" si="76"/>
        <v>0</v>
      </c>
      <c r="N171" s="468">
        <f t="shared" si="76"/>
        <v>0</v>
      </c>
      <c r="O171" s="468">
        <f t="shared" si="76"/>
        <v>0</v>
      </c>
      <c r="P171" s="468">
        <f t="shared" si="76"/>
        <v>0</v>
      </c>
      <c r="Q171" s="468">
        <f t="shared" si="76"/>
        <v>0</v>
      </c>
      <c r="R171" s="468">
        <f t="shared" si="76"/>
        <v>0</v>
      </c>
      <c r="S171" s="469">
        <v>0</v>
      </c>
      <c r="T171" s="455"/>
    </row>
    <row r="172" spans="2:29" ht="14.25" hidden="1" thickBot="1" x14ac:dyDescent="0.35">
      <c r="B172" s="167"/>
      <c r="C172" s="168"/>
      <c r="D172" s="141"/>
      <c r="E172" s="169"/>
      <c r="F172" s="169"/>
      <c r="G172" s="169"/>
      <c r="H172" s="169"/>
      <c r="I172" s="169"/>
      <c r="J172" s="169"/>
      <c r="K172" s="169"/>
      <c r="L172" s="169"/>
      <c r="M172" s="169"/>
      <c r="N172" s="169"/>
      <c r="O172" s="169"/>
      <c r="P172" s="169"/>
      <c r="Q172" s="169"/>
      <c r="R172" s="169"/>
      <c r="S172" s="169"/>
      <c r="T172" s="169"/>
      <c r="U172" s="169"/>
      <c r="V172" s="169"/>
      <c r="W172" s="169"/>
      <c r="X172" s="169"/>
      <c r="Y172" s="169"/>
      <c r="Z172" s="169"/>
      <c r="AA172" s="169"/>
      <c r="AB172" s="169"/>
      <c r="AC172" s="169"/>
    </row>
    <row r="173" spans="2:29" ht="14.25" hidden="1" x14ac:dyDescent="0.3">
      <c r="B173" s="170" t="s">
        <v>19</v>
      </c>
      <c r="C173" s="171" t="str">
        <f>C155</f>
        <v>Počty zaměstnanců</v>
      </c>
      <c r="D173" s="172"/>
      <c r="E173" s="1923">
        <f t="shared" ref="E173:S173" si="77">E137</f>
        <v>2026</v>
      </c>
      <c r="F173" s="1919">
        <f t="shared" si="77"/>
        <v>2027</v>
      </c>
      <c r="G173" s="1919">
        <f t="shared" si="77"/>
        <v>2028</v>
      </c>
      <c r="H173" s="1919">
        <f t="shared" si="77"/>
        <v>2029</v>
      </c>
      <c r="I173" s="1919">
        <f t="shared" si="77"/>
        <v>2030</v>
      </c>
      <c r="J173" s="1919">
        <f t="shared" si="77"/>
        <v>2031</v>
      </c>
      <c r="K173" s="1919">
        <f t="shared" si="77"/>
        <v>2032</v>
      </c>
      <c r="L173" s="1919">
        <f t="shared" si="77"/>
        <v>2033</v>
      </c>
      <c r="M173" s="1919">
        <f t="shared" si="77"/>
        <v>2034</v>
      </c>
      <c r="N173" s="1919">
        <f t="shared" si="77"/>
        <v>2035</v>
      </c>
      <c r="O173" s="1919">
        <f t="shared" si="77"/>
        <v>2036</v>
      </c>
      <c r="P173" s="1919">
        <f t="shared" si="77"/>
        <v>2037</v>
      </c>
      <c r="Q173" s="1919">
        <f t="shared" si="77"/>
        <v>2038</v>
      </c>
      <c r="R173" s="1919">
        <f t="shared" si="77"/>
        <v>2039</v>
      </c>
      <c r="S173" s="1921">
        <f t="shared" si="77"/>
        <v>2040</v>
      </c>
    </row>
    <row r="174" spans="2:29" ht="15" hidden="1" thickBot="1" x14ac:dyDescent="0.35">
      <c r="B174" s="173" t="s">
        <v>4</v>
      </c>
      <c r="C174" s="540" t="str">
        <f>IF('0 Úvod'!$M$10="English",Slovnik!$D$134,Slovnik!$C$134)</f>
        <v>Scénář bez projektu</v>
      </c>
      <c r="D174" s="541"/>
      <c r="E174" s="1924"/>
      <c r="F174" s="1920"/>
      <c r="G174" s="1920"/>
      <c r="H174" s="1920"/>
      <c r="I174" s="1920"/>
      <c r="J174" s="1920"/>
      <c r="K174" s="1920"/>
      <c r="L174" s="1920"/>
      <c r="M174" s="1920"/>
      <c r="N174" s="1920"/>
      <c r="O174" s="1920"/>
      <c r="P174" s="1920"/>
      <c r="Q174" s="1920"/>
      <c r="R174" s="1920"/>
      <c r="S174" s="1922"/>
    </row>
    <row r="175" spans="2:29" ht="14.25" hidden="1" x14ac:dyDescent="0.3">
      <c r="B175" s="215"/>
      <c r="C175" s="216" t="str">
        <f t="shared" ref="C175:C187" si="78">C157</f>
        <v>Dozorčí provozu</v>
      </c>
      <c r="D175" s="217"/>
      <c r="E175" s="176"/>
      <c r="F175" s="176"/>
      <c r="G175" s="176"/>
      <c r="H175" s="176"/>
      <c r="I175" s="176"/>
      <c r="J175" s="176"/>
      <c r="K175" s="176"/>
      <c r="L175" s="176"/>
      <c r="M175" s="176"/>
      <c r="N175" s="176"/>
      <c r="O175" s="176"/>
      <c r="P175" s="176"/>
      <c r="Q175" s="176"/>
      <c r="R175" s="176"/>
      <c r="S175" s="176"/>
      <c r="T175" s="455"/>
    </row>
    <row r="176" spans="2:29" ht="14.25" hidden="1" x14ac:dyDescent="0.3">
      <c r="B176" s="218"/>
      <c r="C176" s="219" t="str">
        <f t="shared" si="78"/>
        <v>Výpravčí</v>
      </c>
      <c r="D176" s="220"/>
      <c r="E176" s="176"/>
      <c r="F176" s="176"/>
      <c r="G176" s="176"/>
      <c r="H176" s="176"/>
      <c r="I176" s="176"/>
      <c r="J176" s="176"/>
      <c r="K176" s="176"/>
      <c r="L176" s="176"/>
      <c r="M176" s="176"/>
      <c r="N176" s="176"/>
      <c r="O176" s="176"/>
      <c r="P176" s="176"/>
      <c r="Q176" s="176"/>
      <c r="R176" s="176"/>
      <c r="S176" s="176"/>
      <c r="T176" s="455"/>
    </row>
    <row r="177" spans="2:20" ht="14.25" hidden="1" x14ac:dyDescent="0.3">
      <c r="B177" s="218"/>
      <c r="C177" s="219" t="str">
        <f t="shared" si="78"/>
        <v>Dozorčí provozu – vedoucí směny</v>
      </c>
      <c r="D177" s="220"/>
      <c r="E177" s="176"/>
      <c r="F177" s="176"/>
      <c r="G177" s="176"/>
      <c r="H177" s="176"/>
      <c r="I177" s="176"/>
      <c r="J177" s="176"/>
      <c r="K177" s="176"/>
      <c r="L177" s="176"/>
      <c r="M177" s="176"/>
      <c r="N177" s="176"/>
      <c r="O177" s="176"/>
      <c r="P177" s="176"/>
      <c r="Q177" s="176"/>
      <c r="R177" s="176"/>
      <c r="S177" s="176"/>
      <c r="T177" s="455"/>
    </row>
    <row r="178" spans="2:20" ht="14.25" hidden="1" x14ac:dyDescent="0.3">
      <c r="B178" s="218"/>
      <c r="C178" s="219" t="str">
        <f t="shared" si="78"/>
        <v>Operátor železniční dopravy</v>
      </c>
      <c r="D178" s="220"/>
      <c r="E178" s="176"/>
      <c r="F178" s="176"/>
      <c r="G178" s="176"/>
      <c r="H178" s="176"/>
      <c r="I178" s="176"/>
      <c r="J178" s="176"/>
      <c r="K178" s="176"/>
      <c r="L178" s="176"/>
      <c r="M178" s="176"/>
      <c r="N178" s="176"/>
      <c r="O178" s="176"/>
      <c r="P178" s="176"/>
      <c r="Q178" s="176"/>
      <c r="R178" s="176"/>
      <c r="S178" s="176"/>
      <c r="T178" s="455"/>
    </row>
    <row r="179" spans="2:20" ht="14.25" hidden="1" x14ac:dyDescent="0.3">
      <c r="B179" s="218"/>
      <c r="C179" s="219" t="str">
        <f t="shared" si="78"/>
        <v>Signalista</v>
      </c>
      <c r="D179" s="220"/>
      <c r="E179" s="176"/>
      <c r="F179" s="176"/>
      <c r="G179" s="176"/>
      <c r="H179" s="176"/>
      <c r="I179" s="176"/>
      <c r="J179" s="176"/>
      <c r="K179" s="176"/>
      <c r="L179" s="176"/>
      <c r="M179" s="176"/>
      <c r="N179" s="176"/>
      <c r="O179" s="176"/>
      <c r="P179" s="176"/>
      <c r="Q179" s="176"/>
      <c r="R179" s="176"/>
      <c r="S179" s="176"/>
      <c r="T179" s="455"/>
    </row>
    <row r="180" spans="2:20" ht="14.25" hidden="1" x14ac:dyDescent="0.3">
      <c r="B180" s="218"/>
      <c r="C180" s="219" t="str">
        <f t="shared" si="78"/>
        <v>Výhybkář</v>
      </c>
      <c r="D180" s="220"/>
      <c r="E180" s="176"/>
      <c r="F180" s="176"/>
      <c r="G180" s="176"/>
      <c r="H180" s="176"/>
      <c r="I180" s="176"/>
      <c r="J180" s="176"/>
      <c r="K180" s="176"/>
      <c r="L180" s="176"/>
      <c r="M180" s="176"/>
      <c r="N180" s="176"/>
      <c r="O180" s="176"/>
      <c r="P180" s="176"/>
      <c r="Q180" s="176"/>
      <c r="R180" s="176"/>
      <c r="S180" s="176"/>
      <c r="T180" s="455"/>
    </row>
    <row r="181" spans="2:20" ht="14.25" hidden="1" x14ac:dyDescent="0.3">
      <c r="B181" s="218"/>
      <c r="C181" s="219" t="str">
        <f t="shared" si="78"/>
        <v>Staniční dozorce</v>
      </c>
      <c r="D181" s="220"/>
      <c r="E181" s="176"/>
      <c r="F181" s="176"/>
      <c r="G181" s="176"/>
      <c r="H181" s="176"/>
      <c r="I181" s="176"/>
      <c r="J181" s="176"/>
      <c r="K181" s="176"/>
      <c r="L181" s="176"/>
      <c r="M181" s="176"/>
      <c r="N181" s="176"/>
      <c r="O181" s="176"/>
      <c r="P181" s="176"/>
      <c r="Q181" s="176"/>
      <c r="R181" s="176"/>
      <c r="S181" s="176"/>
      <c r="T181" s="455"/>
    </row>
    <row r="182" spans="2:20" ht="14.25" hidden="1" x14ac:dyDescent="0.3">
      <c r="B182" s="218"/>
      <c r="C182" s="219" t="str">
        <f t="shared" si="78"/>
        <v>Dozorce výhybek</v>
      </c>
      <c r="D182" s="220"/>
      <c r="E182" s="176"/>
      <c r="F182" s="176"/>
      <c r="G182" s="176"/>
      <c r="H182" s="176"/>
      <c r="I182" s="176"/>
      <c r="J182" s="176"/>
      <c r="K182" s="176"/>
      <c r="L182" s="176"/>
      <c r="M182" s="176"/>
      <c r="N182" s="176"/>
      <c r="O182" s="176"/>
      <c r="P182" s="176"/>
      <c r="Q182" s="176"/>
      <c r="R182" s="176"/>
      <c r="S182" s="176"/>
      <c r="T182" s="455"/>
    </row>
    <row r="183" spans="2:20" ht="14.25" hidden="1" x14ac:dyDescent="0.3">
      <c r="B183" s="218"/>
      <c r="C183" s="219" t="str">
        <f t="shared" si="78"/>
        <v>Závorář</v>
      </c>
      <c r="D183" s="220"/>
      <c r="E183" s="176"/>
      <c r="F183" s="176"/>
      <c r="G183" s="176"/>
      <c r="H183" s="176"/>
      <c r="I183" s="176"/>
      <c r="J183" s="176"/>
      <c r="K183" s="176"/>
      <c r="L183" s="176"/>
      <c r="M183" s="176"/>
      <c r="N183" s="176"/>
      <c r="O183" s="176"/>
      <c r="P183" s="176"/>
      <c r="Q183" s="176"/>
      <c r="R183" s="176"/>
      <c r="S183" s="176"/>
      <c r="T183" s="455"/>
    </row>
    <row r="184" spans="2:20" ht="14.25" hidden="1" x14ac:dyDescent="0.3">
      <c r="B184" s="218"/>
      <c r="C184" s="221" t="str">
        <f t="shared" si="78"/>
        <v>Závorář s prodejem jízdenek</v>
      </c>
      <c r="D184" s="220"/>
      <c r="E184" s="176"/>
      <c r="F184" s="176"/>
      <c r="G184" s="176"/>
      <c r="H184" s="176"/>
      <c r="I184" s="176"/>
      <c r="J184" s="176"/>
      <c r="K184" s="176"/>
      <c r="L184" s="176"/>
      <c r="M184" s="176"/>
      <c r="N184" s="176"/>
      <c r="O184" s="176"/>
      <c r="P184" s="176"/>
      <c r="Q184" s="176"/>
      <c r="R184" s="176"/>
      <c r="S184" s="176"/>
      <c r="T184" s="455"/>
    </row>
    <row r="185" spans="2:20" ht="14.25" hidden="1" x14ac:dyDescent="0.3">
      <c r="B185" s="218"/>
      <c r="C185" s="221" t="str">
        <f t="shared" si="78"/>
        <v>Hradlář – hláskař</v>
      </c>
      <c r="D185" s="220"/>
      <c r="E185" s="176"/>
      <c r="F185" s="176"/>
      <c r="G185" s="176"/>
      <c r="H185" s="176"/>
      <c r="I185" s="176"/>
      <c r="J185" s="176"/>
      <c r="K185" s="176"/>
      <c r="L185" s="176"/>
      <c r="M185" s="176"/>
      <c r="N185" s="176"/>
      <c r="O185" s="176"/>
      <c r="P185" s="176"/>
      <c r="Q185" s="176"/>
      <c r="R185" s="176"/>
      <c r="S185" s="176"/>
      <c r="T185" s="455"/>
    </row>
    <row r="186" spans="2:20" ht="14.25" hidden="1" x14ac:dyDescent="0.3">
      <c r="B186" s="218"/>
      <c r="C186" s="221" t="str">
        <f t="shared" si="78"/>
        <v>Hradlář – hláskař s prodejem jízdenek</v>
      </c>
      <c r="D186" s="220"/>
      <c r="E186" s="176"/>
      <c r="F186" s="176"/>
      <c r="G186" s="176"/>
      <c r="H186" s="176"/>
      <c r="I186" s="176"/>
      <c r="J186" s="176"/>
      <c r="K186" s="176"/>
      <c r="L186" s="176"/>
      <c r="M186" s="176"/>
      <c r="N186" s="176"/>
      <c r="O186" s="176"/>
      <c r="P186" s="176"/>
      <c r="Q186" s="176"/>
      <c r="R186" s="176"/>
      <c r="S186" s="176"/>
      <c r="T186" s="455"/>
    </row>
    <row r="187" spans="2:20" ht="14.25" hidden="1" x14ac:dyDescent="0.3">
      <c r="B187" s="535"/>
      <c r="C187" s="536" t="str">
        <f t="shared" si="78"/>
        <v>Dělník v dopravě – staniční dělník</v>
      </c>
      <c r="D187" s="220"/>
      <c r="E187" s="176"/>
      <c r="F187" s="176"/>
      <c r="G187" s="176"/>
      <c r="H187" s="176"/>
      <c r="I187" s="176"/>
      <c r="J187" s="176"/>
      <c r="K187" s="176"/>
      <c r="L187" s="176"/>
      <c r="M187" s="176"/>
      <c r="N187" s="176"/>
      <c r="O187" s="176"/>
      <c r="P187" s="176"/>
      <c r="Q187" s="176"/>
      <c r="R187" s="176"/>
      <c r="S187" s="176"/>
      <c r="T187" s="455"/>
    </row>
    <row r="188" spans="2:20" ht="15" hidden="1" thickBot="1" x14ac:dyDescent="0.35">
      <c r="B188" s="196"/>
      <c r="C188" s="542" t="str">
        <f>C170</f>
        <v>Celkem</v>
      </c>
      <c r="D188" s="460"/>
      <c r="E188" s="197">
        <f>SUM(E175:E187)</f>
        <v>0</v>
      </c>
      <c r="F188" s="465">
        <f t="shared" ref="F188:S188" si="79">SUM(F175:F187)</f>
        <v>0</v>
      </c>
      <c r="G188" s="465">
        <f t="shared" si="79"/>
        <v>0</v>
      </c>
      <c r="H188" s="465">
        <f t="shared" si="79"/>
        <v>0</v>
      </c>
      <c r="I188" s="465">
        <f t="shared" si="79"/>
        <v>0</v>
      </c>
      <c r="J188" s="465">
        <f t="shared" si="79"/>
        <v>0</v>
      </c>
      <c r="K188" s="465">
        <f t="shared" si="79"/>
        <v>0</v>
      </c>
      <c r="L188" s="465">
        <f t="shared" si="79"/>
        <v>0</v>
      </c>
      <c r="M188" s="465">
        <f t="shared" si="79"/>
        <v>0</v>
      </c>
      <c r="N188" s="465">
        <f t="shared" si="79"/>
        <v>0</v>
      </c>
      <c r="O188" s="465">
        <f t="shared" si="79"/>
        <v>0</v>
      </c>
      <c r="P188" s="465">
        <f t="shared" si="79"/>
        <v>0</v>
      </c>
      <c r="Q188" s="465">
        <f t="shared" si="79"/>
        <v>0</v>
      </c>
      <c r="R188" s="465">
        <f t="shared" si="79"/>
        <v>0</v>
      </c>
      <c r="S188" s="466">
        <f t="shared" si="79"/>
        <v>0</v>
      </c>
      <c r="T188" s="455"/>
    </row>
    <row r="189" spans="2:20" ht="15" hidden="1" thickBot="1" x14ac:dyDescent="0.35">
      <c r="B189" s="222"/>
      <c r="C189" s="538" t="str">
        <f>C171</f>
        <v>Odstupné</v>
      </c>
      <c r="D189" s="458"/>
      <c r="E189" s="467">
        <f>SUMPRODUCT($E$88:$E$100*(E$105/$D$88)/4,E175:E187-F175:F187)</f>
        <v>0</v>
      </c>
      <c r="F189" s="468">
        <f t="shared" ref="F189:R189" si="80">SUMPRODUCT($E$88:$E$100*(F$105/$D$88)/4,F175:F187-G175:G187)</f>
        <v>0</v>
      </c>
      <c r="G189" s="468">
        <f t="shared" si="80"/>
        <v>0</v>
      </c>
      <c r="H189" s="468">
        <f t="shared" si="80"/>
        <v>0</v>
      </c>
      <c r="I189" s="468">
        <f t="shared" si="80"/>
        <v>0</v>
      </c>
      <c r="J189" s="468">
        <f t="shared" si="80"/>
        <v>0</v>
      </c>
      <c r="K189" s="468">
        <f t="shared" si="80"/>
        <v>0</v>
      </c>
      <c r="L189" s="468">
        <f t="shared" si="80"/>
        <v>0</v>
      </c>
      <c r="M189" s="468">
        <f t="shared" si="80"/>
        <v>0</v>
      </c>
      <c r="N189" s="468">
        <f t="shared" si="80"/>
        <v>0</v>
      </c>
      <c r="O189" s="468">
        <f>SUMPRODUCT($E$88:$E$100*(O$105/$D$88)/4,O175:O187-P175:P187)</f>
        <v>0</v>
      </c>
      <c r="P189" s="468">
        <f t="shared" si="80"/>
        <v>0</v>
      </c>
      <c r="Q189" s="468">
        <f t="shared" si="80"/>
        <v>0</v>
      </c>
      <c r="R189" s="468">
        <f t="shared" si="80"/>
        <v>0</v>
      </c>
      <c r="S189" s="469">
        <f>SUMPRODUCT($E$88:$E$100*(S$105/$D$88)/4,S175:S187-E193:E205)</f>
        <v>0</v>
      </c>
      <c r="T189" s="455"/>
    </row>
    <row r="190" spans="2:20" ht="14.25" hidden="1" thickBot="1" x14ac:dyDescent="0.35">
      <c r="B190" s="166"/>
      <c r="C190" s="139"/>
      <c r="D190" s="141"/>
      <c r="E190" s="141"/>
      <c r="F190" s="141"/>
      <c r="G190" s="141"/>
      <c r="H190" s="141"/>
      <c r="I190" s="141"/>
      <c r="J190" s="141"/>
      <c r="K190" s="141"/>
      <c r="L190" s="141"/>
      <c r="M190" s="141"/>
      <c r="N190" s="141"/>
      <c r="O190" s="141"/>
      <c r="P190" s="141"/>
      <c r="Q190" s="141"/>
      <c r="R190" s="141"/>
      <c r="S190" s="141"/>
    </row>
    <row r="191" spans="2:20" ht="14.25" hidden="1" x14ac:dyDescent="0.3">
      <c r="B191" s="170" t="str">
        <f>B173</f>
        <v>3.7.</v>
      </c>
      <c r="C191" s="171" t="str">
        <f>C155</f>
        <v>Počty zaměstnanců</v>
      </c>
      <c r="D191" s="174"/>
      <c r="E191" s="1923">
        <f t="shared" ref="E191:S191" si="81">E155</f>
        <v>2041</v>
      </c>
      <c r="F191" s="1919">
        <f t="shared" si="81"/>
        <v>2042</v>
      </c>
      <c r="G191" s="1919">
        <f t="shared" si="81"/>
        <v>2043</v>
      </c>
      <c r="H191" s="1919">
        <f t="shared" si="81"/>
        <v>2044</v>
      </c>
      <c r="I191" s="1919">
        <f t="shared" si="81"/>
        <v>2045</v>
      </c>
      <c r="J191" s="1919">
        <f t="shared" si="81"/>
        <v>2046</v>
      </c>
      <c r="K191" s="1919">
        <f t="shared" si="81"/>
        <v>2047</v>
      </c>
      <c r="L191" s="1919">
        <f t="shared" si="81"/>
        <v>2048</v>
      </c>
      <c r="M191" s="1919">
        <f t="shared" si="81"/>
        <v>2049</v>
      </c>
      <c r="N191" s="1919">
        <f t="shared" si="81"/>
        <v>2050</v>
      </c>
      <c r="O191" s="1919">
        <f t="shared" si="81"/>
        <v>2051</v>
      </c>
      <c r="P191" s="1919">
        <f t="shared" si="81"/>
        <v>2052</v>
      </c>
      <c r="Q191" s="1919">
        <f t="shared" si="81"/>
        <v>2053</v>
      </c>
      <c r="R191" s="1919">
        <f t="shared" si="81"/>
        <v>2054</v>
      </c>
      <c r="S191" s="1921">
        <f t="shared" si="81"/>
        <v>2055</v>
      </c>
    </row>
    <row r="192" spans="2:20" ht="15" hidden="1" thickBot="1" x14ac:dyDescent="0.35">
      <c r="B192" s="173" t="s">
        <v>5</v>
      </c>
      <c r="C192" s="540" t="str">
        <f>C174</f>
        <v>Scénář bez projektu</v>
      </c>
      <c r="D192" s="543"/>
      <c r="E192" s="1924">
        <v>1</v>
      </c>
      <c r="F192" s="1920">
        <v>2</v>
      </c>
      <c r="G192" s="1920">
        <v>3</v>
      </c>
      <c r="H192" s="1920">
        <v>4</v>
      </c>
      <c r="I192" s="1920">
        <v>5</v>
      </c>
      <c r="J192" s="1920">
        <v>6</v>
      </c>
      <c r="K192" s="1920">
        <v>7</v>
      </c>
      <c r="L192" s="1920">
        <v>8</v>
      </c>
      <c r="M192" s="1920">
        <v>9</v>
      </c>
      <c r="N192" s="1920">
        <v>10</v>
      </c>
      <c r="O192" s="1920">
        <v>11</v>
      </c>
      <c r="P192" s="1920">
        <v>12</v>
      </c>
      <c r="Q192" s="1920">
        <v>13</v>
      </c>
      <c r="R192" s="1920">
        <v>14</v>
      </c>
      <c r="S192" s="1922">
        <v>15</v>
      </c>
    </row>
    <row r="193" spans="2:29" ht="14.25" hidden="1" x14ac:dyDescent="0.3">
      <c r="B193" s="215"/>
      <c r="C193" s="216" t="str">
        <f t="shared" ref="C193:C205" si="82">C175</f>
        <v>Dozorčí provozu</v>
      </c>
      <c r="D193" s="217"/>
      <c r="E193" s="176"/>
      <c r="F193" s="176"/>
      <c r="G193" s="176"/>
      <c r="H193" s="176"/>
      <c r="I193" s="176"/>
      <c r="J193" s="176"/>
      <c r="K193" s="176"/>
      <c r="L193" s="176"/>
      <c r="M193" s="176"/>
      <c r="N193" s="176"/>
      <c r="O193" s="176"/>
      <c r="P193" s="176"/>
      <c r="Q193" s="176"/>
      <c r="R193" s="176"/>
      <c r="S193" s="176"/>
      <c r="T193" s="455"/>
    </row>
    <row r="194" spans="2:29" ht="14.25" hidden="1" x14ac:dyDescent="0.3">
      <c r="B194" s="218"/>
      <c r="C194" s="219" t="str">
        <f t="shared" si="82"/>
        <v>Výpravčí</v>
      </c>
      <c r="D194" s="220"/>
      <c r="E194" s="176"/>
      <c r="F194" s="176"/>
      <c r="G194" s="176"/>
      <c r="H194" s="176"/>
      <c r="I194" s="176"/>
      <c r="J194" s="176"/>
      <c r="K194" s="176"/>
      <c r="L194" s="176"/>
      <c r="M194" s="176"/>
      <c r="N194" s="176"/>
      <c r="O194" s="176"/>
      <c r="P194" s="176"/>
      <c r="Q194" s="176"/>
      <c r="R194" s="176"/>
      <c r="S194" s="176"/>
      <c r="T194" s="455"/>
    </row>
    <row r="195" spans="2:29" ht="14.25" hidden="1" x14ac:dyDescent="0.3">
      <c r="B195" s="218"/>
      <c r="C195" s="219" t="str">
        <f t="shared" si="82"/>
        <v>Dozorčí provozu – vedoucí směny</v>
      </c>
      <c r="D195" s="220"/>
      <c r="E195" s="176"/>
      <c r="F195" s="176"/>
      <c r="G195" s="176"/>
      <c r="H195" s="176"/>
      <c r="I195" s="176"/>
      <c r="J195" s="176"/>
      <c r="K195" s="176"/>
      <c r="L195" s="176"/>
      <c r="M195" s="176"/>
      <c r="N195" s="176"/>
      <c r="O195" s="176"/>
      <c r="P195" s="176"/>
      <c r="Q195" s="176"/>
      <c r="R195" s="176"/>
      <c r="S195" s="176"/>
      <c r="T195" s="455"/>
    </row>
    <row r="196" spans="2:29" ht="14.25" hidden="1" x14ac:dyDescent="0.3">
      <c r="B196" s="218"/>
      <c r="C196" s="219" t="str">
        <f t="shared" si="82"/>
        <v>Operátor železniční dopravy</v>
      </c>
      <c r="D196" s="220"/>
      <c r="E196" s="176"/>
      <c r="F196" s="176"/>
      <c r="G196" s="176"/>
      <c r="H196" s="176"/>
      <c r="I196" s="176"/>
      <c r="J196" s="176"/>
      <c r="K196" s="176"/>
      <c r="L196" s="176"/>
      <c r="M196" s="176"/>
      <c r="N196" s="176"/>
      <c r="O196" s="176"/>
      <c r="P196" s="176"/>
      <c r="Q196" s="176"/>
      <c r="R196" s="176"/>
      <c r="S196" s="176"/>
      <c r="T196" s="455"/>
    </row>
    <row r="197" spans="2:29" ht="14.25" hidden="1" x14ac:dyDescent="0.3">
      <c r="B197" s="218"/>
      <c r="C197" s="219" t="str">
        <f t="shared" si="82"/>
        <v>Signalista</v>
      </c>
      <c r="D197" s="220"/>
      <c r="E197" s="176"/>
      <c r="F197" s="176"/>
      <c r="G197" s="176"/>
      <c r="H197" s="176"/>
      <c r="I197" s="176"/>
      <c r="J197" s="176"/>
      <c r="K197" s="176"/>
      <c r="L197" s="176"/>
      <c r="M197" s="176"/>
      <c r="N197" s="176"/>
      <c r="O197" s="176"/>
      <c r="P197" s="176"/>
      <c r="Q197" s="176"/>
      <c r="R197" s="176"/>
      <c r="S197" s="176"/>
      <c r="T197" s="455"/>
    </row>
    <row r="198" spans="2:29" ht="14.25" hidden="1" x14ac:dyDescent="0.3">
      <c r="B198" s="218"/>
      <c r="C198" s="219" t="str">
        <f t="shared" si="82"/>
        <v>Výhybkář</v>
      </c>
      <c r="D198" s="220"/>
      <c r="E198" s="176"/>
      <c r="F198" s="176"/>
      <c r="G198" s="176"/>
      <c r="H198" s="176"/>
      <c r="I198" s="176"/>
      <c r="J198" s="176"/>
      <c r="K198" s="176"/>
      <c r="L198" s="176"/>
      <c r="M198" s="176"/>
      <c r="N198" s="176"/>
      <c r="O198" s="176"/>
      <c r="P198" s="176"/>
      <c r="Q198" s="176"/>
      <c r="R198" s="176"/>
      <c r="S198" s="176"/>
      <c r="T198" s="455"/>
    </row>
    <row r="199" spans="2:29" ht="14.25" hidden="1" x14ac:dyDescent="0.3">
      <c r="B199" s="218"/>
      <c r="C199" s="219" t="str">
        <f t="shared" si="82"/>
        <v>Staniční dozorce</v>
      </c>
      <c r="D199" s="220"/>
      <c r="E199" s="176"/>
      <c r="F199" s="176"/>
      <c r="G199" s="176"/>
      <c r="H199" s="176"/>
      <c r="I199" s="176"/>
      <c r="J199" s="176"/>
      <c r="K199" s="176"/>
      <c r="L199" s="176"/>
      <c r="M199" s="176"/>
      <c r="N199" s="176"/>
      <c r="O199" s="176"/>
      <c r="P199" s="176"/>
      <c r="Q199" s="176"/>
      <c r="R199" s="176"/>
      <c r="S199" s="176"/>
      <c r="T199" s="455"/>
    </row>
    <row r="200" spans="2:29" ht="14.25" hidden="1" x14ac:dyDescent="0.3">
      <c r="B200" s="218"/>
      <c r="C200" s="219" t="str">
        <f t="shared" si="82"/>
        <v>Dozorce výhybek</v>
      </c>
      <c r="D200" s="220"/>
      <c r="E200" s="176"/>
      <c r="F200" s="176"/>
      <c r="G200" s="176"/>
      <c r="H200" s="176"/>
      <c r="I200" s="176"/>
      <c r="J200" s="176"/>
      <c r="K200" s="176"/>
      <c r="L200" s="176"/>
      <c r="M200" s="176"/>
      <c r="N200" s="176"/>
      <c r="O200" s="176"/>
      <c r="P200" s="176"/>
      <c r="Q200" s="176"/>
      <c r="R200" s="176"/>
      <c r="S200" s="176"/>
      <c r="T200" s="455"/>
    </row>
    <row r="201" spans="2:29" ht="14.25" hidden="1" x14ac:dyDescent="0.3">
      <c r="B201" s="218"/>
      <c r="C201" s="219" t="str">
        <f t="shared" si="82"/>
        <v>Závorář</v>
      </c>
      <c r="D201" s="220"/>
      <c r="E201" s="176"/>
      <c r="F201" s="176"/>
      <c r="G201" s="176"/>
      <c r="H201" s="176"/>
      <c r="I201" s="176"/>
      <c r="J201" s="176"/>
      <c r="K201" s="176"/>
      <c r="L201" s="176"/>
      <c r="M201" s="176"/>
      <c r="N201" s="176"/>
      <c r="O201" s="176"/>
      <c r="P201" s="176"/>
      <c r="Q201" s="176"/>
      <c r="R201" s="176"/>
      <c r="S201" s="176"/>
      <c r="T201" s="455"/>
    </row>
    <row r="202" spans="2:29" ht="14.25" hidden="1" x14ac:dyDescent="0.3">
      <c r="B202" s="218"/>
      <c r="C202" s="221" t="str">
        <f t="shared" si="82"/>
        <v>Závorář s prodejem jízdenek</v>
      </c>
      <c r="D202" s="220"/>
      <c r="E202" s="176"/>
      <c r="F202" s="176"/>
      <c r="G202" s="176"/>
      <c r="H202" s="176"/>
      <c r="I202" s="176"/>
      <c r="J202" s="176"/>
      <c r="K202" s="176"/>
      <c r="L202" s="176"/>
      <c r="M202" s="176"/>
      <c r="N202" s="176"/>
      <c r="O202" s="176"/>
      <c r="P202" s="176"/>
      <c r="Q202" s="176"/>
      <c r="R202" s="176"/>
      <c r="S202" s="176"/>
      <c r="T202" s="455"/>
    </row>
    <row r="203" spans="2:29" ht="14.25" hidden="1" x14ac:dyDescent="0.3">
      <c r="B203" s="218"/>
      <c r="C203" s="221" t="str">
        <f t="shared" si="82"/>
        <v>Hradlář – hláskař</v>
      </c>
      <c r="D203" s="220"/>
      <c r="E203" s="176"/>
      <c r="F203" s="176"/>
      <c r="G203" s="176"/>
      <c r="H203" s="176"/>
      <c r="I203" s="176"/>
      <c r="J203" s="176"/>
      <c r="K203" s="176"/>
      <c r="L203" s="176"/>
      <c r="M203" s="176"/>
      <c r="N203" s="176"/>
      <c r="O203" s="176"/>
      <c r="P203" s="176"/>
      <c r="Q203" s="176"/>
      <c r="R203" s="176"/>
      <c r="S203" s="176"/>
      <c r="T203" s="455"/>
    </row>
    <row r="204" spans="2:29" ht="14.25" hidden="1" x14ac:dyDescent="0.3">
      <c r="B204" s="223"/>
      <c r="C204" s="221" t="str">
        <f t="shared" si="82"/>
        <v>Hradlář – hláskař s prodejem jízdenek</v>
      </c>
      <c r="D204" s="220"/>
      <c r="E204" s="176"/>
      <c r="F204" s="176"/>
      <c r="G204" s="176"/>
      <c r="H204" s="176"/>
      <c r="I204" s="176"/>
      <c r="J204" s="176"/>
      <c r="K204" s="176"/>
      <c r="L204" s="176"/>
      <c r="M204" s="176"/>
      <c r="N204" s="176"/>
      <c r="O204" s="176"/>
      <c r="P204" s="176"/>
      <c r="Q204" s="176"/>
      <c r="R204" s="176"/>
      <c r="S204" s="176"/>
      <c r="T204" s="455"/>
    </row>
    <row r="205" spans="2:29" ht="14.25" hidden="1" x14ac:dyDescent="0.3">
      <c r="B205" s="535"/>
      <c r="C205" s="536" t="str">
        <f t="shared" si="82"/>
        <v>Dělník v dopravě – staniční dělník</v>
      </c>
      <c r="D205" s="461"/>
      <c r="E205" s="176"/>
      <c r="F205" s="176"/>
      <c r="G205" s="176"/>
      <c r="H205" s="176"/>
      <c r="I205" s="176"/>
      <c r="J205" s="176"/>
      <c r="K205" s="176"/>
      <c r="L205" s="176"/>
      <c r="M205" s="176"/>
      <c r="N205" s="176"/>
      <c r="O205" s="176"/>
      <c r="P205" s="176"/>
      <c r="Q205" s="176"/>
      <c r="R205" s="176"/>
      <c r="S205" s="176"/>
      <c r="T205" s="455"/>
    </row>
    <row r="206" spans="2:29" ht="15" hidden="1" thickBot="1" x14ac:dyDescent="0.35">
      <c r="B206" s="196"/>
      <c r="C206" s="542" t="str">
        <f>C188</f>
        <v>Celkem</v>
      </c>
      <c r="D206" s="462"/>
      <c r="E206" s="197">
        <f>SUM(E193:E205)</f>
        <v>0</v>
      </c>
      <c r="F206" s="465">
        <f t="shared" ref="F206:S206" si="83">SUM(F193:F205)</f>
        <v>0</v>
      </c>
      <c r="G206" s="465">
        <f t="shared" si="83"/>
        <v>0</v>
      </c>
      <c r="H206" s="465">
        <f t="shared" si="83"/>
        <v>0</v>
      </c>
      <c r="I206" s="465">
        <f t="shared" si="83"/>
        <v>0</v>
      </c>
      <c r="J206" s="465">
        <f t="shared" si="83"/>
        <v>0</v>
      </c>
      <c r="K206" s="465">
        <f t="shared" si="83"/>
        <v>0</v>
      </c>
      <c r="L206" s="465">
        <f t="shared" si="83"/>
        <v>0</v>
      </c>
      <c r="M206" s="465">
        <f t="shared" si="83"/>
        <v>0</v>
      </c>
      <c r="N206" s="465">
        <f t="shared" si="83"/>
        <v>0</v>
      </c>
      <c r="O206" s="465">
        <f t="shared" si="83"/>
        <v>0</v>
      </c>
      <c r="P206" s="465">
        <f t="shared" si="83"/>
        <v>0</v>
      </c>
      <c r="Q206" s="465">
        <f t="shared" si="83"/>
        <v>0</v>
      </c>
      <c r="R206" s="465">
        <f t="shared" si="83"/>
        <v>0</v>
      </c>
      <c r="S206" s="466">
        <f t="shared" si="83"/>
        <v>0</v>
      </c>
      <c r="T206" s="455"/>
    </row>
    <row r="207" spans="2:29" ht="15" hidden="1" thickBot="1" x14ac:dyDescent="0.35">
      <c r="B207" s="222"/>
      <c r="C207" s="538" t="str">
        <f>C189</f>
        <v>Odstupné</v>
      </c>
      <c r="D207" s="458"/>
      <c r="E207" s="467">
        <f>SUMPRODUCT($E$88:$E$100*(E$122/$D$88)/4,E193:E205-F193:F205)</f>
        <v>0</v>
      </c>
      <c r="F207" s="468">
        <f t="shared" ref="F207:R207" si="84">SUMPRODUCT($E$88:$E$100*(F$122/$D$88)/4,F193:F205-G193:G205)</f>
        <v>0</v>
      </c>
      <c r="G207" s="468">
        <f t="shared" si="84"/>
        <v>0</v>
      </c>
      <c r="H207" s="468">
        <f t="shared" si="84"/>
        <v>0</v>
      </c>
      <c r="I207" s="468">
        <f t="shared" si="84"/>
        <v>0</v>
      </c>
      <c r="J207" s="468">
        <f t="shared" si="84"/>
        <v>0</v>
      </c>
      <c r="K207" s="468">
        <f t="shared" si="84"/>
        <v>0</v>
      </c>
      <c r="L207" s="468">
        <f t="shared" si="84"/>
        <v>0</v>
      </c>
      <c r="M207" s="468">
        <f t="shared" si="84"/>
        <v>0</v>
      </c>
      <c r="N207" s="468">
        <f t="shared" si="84"/>
        <v>0</v>
      </c>
      <c r="O207" s="468">
        <f t="shared" si="84"/>
        <v>0</v>
      </c>
      <c r="P207" s="468">
        <f t="shared" si="84"/>
        <v>0</v>
      </c>
      <c r="Q207" s="468">
        <f t="shared" si="84"/>
        <v>0</v>
      </c>
      <c r="R207" s="468">
        <f t="shared" si="84"/>
        <v>0</v>
      </c>
      <c r="S207" s="469">
        <v>0</v>
      </c>
      <c r="T207" s="455"/>
    </row>
    <row r="208" spans="2:29" ht="14.25" hidden="1" x14ac:dyDescent="0.3">
      <c r="B208" s="175"/>
      <c r="C208" s="224"/>
      <c r="D208" s="139"/>
      <c r="E208" s="158"/>
      <c r="F208" s="158"/>
      <c r="G208" s="158"/>
      <c r="H208" s="158"/>
      <c r="I208" s="158"/>
      <c r="J208" s="158"/>
      <c r="K208" s="158"/>
      <c r="L208" s="158"/>
      <c r="M208" s="158"/>
      <c r="N208" s="158"/>
      <c r="O208" s="158"/>
      <c r="P208" s="158"/>
      <c r="Q208" s="158"/>
      <c r="R208" s="139"/>
      <c r="S208" s="139"/>
      <c r="T208" s="224"/>
      <c r="U208" s="224"/>
      <c r="V208" s="224"/>
      <c r="W208" s="224"/>
      <c r="X208" s="224"/>
      <c r="Y208" s="224"/>
      <c r="Z208" s="224"/>
      <c r="AA208" s="224"/>
      <c r="AB208" s="224"/>
      <c r="AC208" s="224"/>
    </row>
    <row r="209" spans="2:19" ht="14.25" thickBot="1" x14ac:dyDescent="0.35"/>
    <row r="210" spans="2:19" ht="10.15" customHeight="1" x14ac:dyDescent="0.3">
      <c r="B210" s="1884" t="str">
        <f>IF('0 Úvod'!$M$10="English",Slovnik!$D$164,Slovnik!$C$164)</f>
        <v>Komentáře</v>
      </c>
      <c r="C210" s="1885"/>
      <c r="D210" s="1885"/>
      <c r="E210" s="1885"/>
      <c r="F210" s="1885"/>
      <c r="G210" s="1885"/>
      <c r="H210" s="1885"/>
      <c r="I210" s="1885"/>
      <c r="J210" s="1885"/>
      <c r="K210" s="1885"/>
      <c r="L210" s="1885"/>
      <c r="M210" s="1885"/>
      <c r="N210" s="1885"/>
      <c r="O210" s="1885"/>
      <c r="P210" s="1885"/>
      <c r="Q210" s="1885"/>
      <c r="R210" s="1886"/>
      <c r="S210" s="1887"/>
    </row>
    <row r="211" spans="2:19" ht="10.9" customHeight="1" thickBot="1" x14ac:dyDescent="0.35">
      <c r="B211" s="1888"/>
      <c r="C211" s="1889"/>
      <c r="D211" s="1889"/>
      <c r="E211" s="1889"/>
      <c r="F211" s="1889"/>
      <c r="G211" s="1889"/>
      <c r="H211" s="1889"/>
      <c r="I211" s="1889"/>
      <c r="J211" s="1889"/>
      <c r="K211" s="1889"/>
      <c r="L211" s="1889"/>
      <c r="M211" s="1889"/>
      <c r="N211" s="1889"/>
      <c r="O211" s="1889"/>
      <c r="P211" s="1889"/>
      <c r="Q211" s="1889"/>
      <c r="R211" s="1890"/>
      <c r="S211" s="1891"/>
    </row>
    <row r="212" spans="2:19" ht="30" customHeight="1" thickBot="1" x14ac:dyDescent="0.35">
      <c r="B212" s="1892" t="s">
        <v>1378</v>
      </c>
      <c r="C212" s="1893"/>
      <c r="D212" s="1893"/>
      <c r="E212" s="1893"/>
      <c r="F212" s="1893"/>
      <c r="G212" s="1893"/>
      <c r="H212" s="1893"/>
      <c r="I212" s="1893"/>
      <c r="J212" s="1893"/>
      <c r="K212" s="1893"/>
      <c r="L212" s="1893"/>
      <c r="M212" s="1893"/>
      <c r="N212" s="1893"/>
      <c r="O212" s="1893"/>
      <c r="P212" s="1893"/>
      <c r="Q212" s="1893"/>
      <c r="R212" s="1893"/>
      <c r="S212" s="1894"/>
    </row>
    <row r="216" spans="2:19" ht="16.5" x14ac:dyDescent="0.3">
      <c r="C216" s="470"/>
    </row>
    <row r="217" spans="2:19" ht="16.5" x14ac:dyDescent="0.3">
      <c r="C217" s="470"/>
    </row>
    <row r="218" spans="2:19" ht="16.5" x14ac:dyDescent="0.3">
      <c r="C218" s="470"/>
    </row>
  </sheetData>
  <sheetProtection algorithmName="SHA-512" hashValue="CAhAhFNghwxVoROM3bQuj297xVJs8HnbjU8JwYpxoGlOnS1ACTIzAEYO6Syy9FBiT+irZRikR057dS440H8d0Q==" saltValue="pVm9uNrvcgBaL9BwGNHojQ==" spinCount="100000" sheet="1" objects="1" scenarios="1"/>
  <mergeCells count="183">
    <mergeCell ref="B210:S211"/>
    <mergeCell ref="B212:S212"/>
    <mergeCell ref="R119:R120"/>
    <mergeCell ref="P119:P120"/>
    <mergeCell ref="R102:R103"/>
    <mergeCell ref="F102:F103"/>
    <mergeCell ref="E191:E192"/>
    <mergeCell ref="F191:F192"/>
    <mergeCell ref="G191:G192"/>
    <mergeCell ref="E119:E120"/>
    <mergeCell ref="F119:F120"/>
    <mergeCell ref="G119:G120"/>
    <mergeCell ref="H119:H120"/>
    <mergeCell ref="E102:E103"/>
    <mergeCell ref="K102:K103"/>
    <mergeCell ref="L102:L103"/>
    <mergeCell ref="I119:I120"/>
    <mergeCell ref="I102:I103"/>
    <mergeCell ref="M119:M120"/>
    <mergeCell ref="O102:O103"/>
    <mergeCell ref="P102:P103"/>
    <mergeCell ref="Q119:Q120"/>
    <mergeCell ref="R155:R156"/>
    <mergeCell ref="S191:S192"/>
    <mergeCell ref="R173:R174"/>
    <mergeCell ref="N191:N192"/>
    <mergeCell ref="O191:O192"/>
    <mergeCell ref="L173:L174"/>
    <mergeCell ref="H191:H192"/>
    <mergeCell ref="K173:K174"/>
    <mergeCell ref="J155:J156"/>
    <mergeCell ref="P155:P156"/>
    <mergeCell ref="O173:O174"/>
    <mergeCell ref="S173:S174"/>
    <mergeCell ref="S155:S156"/>
    <mergeCell ref="E155:E156"/>
    <mergeCell ref="F155:F156"/>
    <mergeCell ref="G155:G156"/>
    <mergeCell ref="P191:P192"/>
    <mergeCell ref="Q191:Q192"/>
    <mergeCell ref="R191:R192"/>
    <mergeCell ref="I191:I192"/>
    <mergeCell ref="J191:J192"/>
    <mergeCell ref="K191:K192"/>
    <mergeCell ref="L191:L192"/>
    <mergeCell ref="Q173:Q174"/>
    <mergeCell ref="M191:M192"/>
    <mergeCell ref="E173:E174"/>
    <mergeCell ref="F173:F174"/>
    <mergeCell ref="G173:G174"/>
    <mergeCell ref="H173:H174"/>
    <mergeCell ref="I173:I174"/>
    <mergeCell ref="J173:J174"/>
    <mergeCell ref="P173:P174"/>
    <mergeCell ref="H155:H156"/>
    <mergeCell ref="I155:I156"/>
    <mergeCell ref="O155:O156"/>
    <mergeCell ref="N119:N120"/>
    <mergeCell ref="M102:M103"/>
    <mergeCell ref="N102:N103"/>
    <mergeCell ref="J102:J103"/>
    <mergeCell ref="J119:J120"/>
    <mergeCell ref="K119:K120"/>
    <mergeCell ref="M137:M138"/>
    <mergeCell ref="N137:N138"/>
    <mergeCell ref="M173:M174"/>
    <mergeCell ref="N173:N174"/>
    <mergeCell ref="L137:L138"/>
    <mergeCell ref="G67:G68"/>
    <mergeCell ref="S102:S103"/>
    <mergeCell ref="S41:S42"/>
    <mergeCell ref="S67:S68"/>
    <mergeCell ref="E41:E42"/>
    <mergeCell ref="E2:E3"/>
    <mergeCell ref="F2:F3"/>
    <mergeCell ref="G41:G42"/>
    <mergeCell ref="E54:E55"/>
    <mergeCell ref="G54:G55"/>
    <mergeCell ref="E15:E16"/>
    <mergeCell ref="G28:G29"/>
    <mergeCell ref="F15:F16"/>
    <mergeCell ref="E28:E29"/>
    <mergeCell ref="F41:F42"/>
    <mergeCell ref="F54:F55"/>
    <mergeCell ref="F28:F29"/>
    <mergeCell ref="G2:G3"/>
    <mergeCell ref="G15:G16"/>
    <mergeCell ref="M2:M3"/>
    <mergeCell ref="L67:L68"/>
    <mergeCell ref="M67:M68"/>
    <mergeCell ref="K41:K42"/>
    <mergeCell ref="Q102:Q103"/>
    <mergeCell ref="M15:M16"/>
    <mergeCell ref="N15:N16"/>
    <mergeCell ref="J41:J42"/>
    <mergeCell ref="N67:N68"/>
    <mergeCell ref="J67:J68"/>
    <mergeCell ref="M155:M156"/>
    <mergeCell ref="N155:N156"/>
    <mergeCell ref="S2:S3"/>
    <mergeCell ref="S119:S120"/>
    <mergeCell ref="O119:O120"/>
    <mergeCell ref="S137:S138"/>
    <mergeCell ref="R137:R138"/>
    <mergeCell ref="O137:O138"/>
    <mergeCell ref="P137:P138"/>
    <mergeCell ref="Q137:Q138"/>
    <mergeCell ref="R2:R3"/>
    <mergeCell ref="Q67:Q68"/>
    <mergeCell ref="R67:R68"/>
    <mergeCell ref="O2:O3"/>
    <mergeCell ref="P2:P3"/>
    <mergeCell ref="Q2:Q3"/>
    <mergeCell ref="Q155:Q156"/>
    <mergeCell ref="Q15:Q16"/>
    <mergeCell ref="J137:J138"/>
    <mergeCell ref="I2:I3"/>
    <mergeCell ref="K155:K156"/>
    <mergeCell ref="L155:L156"/>
    <mergeCell ref="H15:H16"/>
    <mergeCell ref="I41:I42"/>
    <mergeCell ref="H67:H68"/>
    <mergeCell ref="I54:I55"/>
    <mergeCell ref="H28:H29"/>
    <mergeCell ref="H54:H55"/>
    <mergeCell ref="I67:I68"/>
    <mergeCell ref="I15:I16"/>
    <mergeCell ref="H137:H138"/>
    <mergeCell ref="K54:K55"/>
    <mergeCell ref="J54:J55"/>
    <mergeCell ref="K15:K16"/>
    <mergeCell ref="I137:I138"/>
    <mergeCell ref="K137:K138"/>
    <mergeCell ref="L119:L120"/>
    <mergeCell ref="H102:H103"/>
    <mergeCell ref="S54:S55"/>
    <mergeCell ref="R15:R16"/>
    <mergeCell ref="P15:P16"/>
    <mergeCell ref="O15:O16"/>
    <mergeCell ref="O67:O68"/>
    <mergeCell ref="P67:P68"/>
    <mergeCell ref="Q41:Q42"/>
    <mergeCell ref="S28:S29"/>
    <mergeCell ref="H2:H3"/>
    <mergeCell ref="L15:L16"/>
    <mergeCell ref="N54:N55"/>
    <mergeCell ref="O54:O55"/>
    <mergeCell ref="N28:N29"/>
    <mergeCell ref="O28:O29"/>
    <mergeCell ref="P54:P55"/>
    <mergeCell ref="L41:L42"/>
    <mergeCell ref="M41:M42"/>
    <mergeCell ref="N41:N42"/>
    <mergeCell ref="J2:J3"/>
    <mergeCell ref="K2:K3"/>
    <mergeCell ref="L2:L3"/>
    <mergeCell ref="J15:J16"/>
    <mergeCell ref="S15:S16"/>
    <mergeCell ref="N2:N3"/>
    <mergeCell ref="E137:E138"/>
    <mergeCell ref="F137:F138"/>
    <mergeCell ref="G137:G138"/>
    <mergeCell ref="B85:B87"/>
    <mergeCell ref="R28:R29"/>
    <mergeCell ref="M28:M29"/>
    <mergeCell ref="L54:L55"/>
    <mergeCell ref="I28:I29"/>
    <mergeCell ref="J28:J29"/>
    <mergeCell ref="K28:K29"/>
    <mergeCell ref="L28:L29"/>
    <mergeCell ref="M54:M55"/>
    <mergeCell ref="H41:H42"/>
    <mergeCell ref="E67:E68"/>
    <mergeCell ref="F67:F68"/>
    <mergeCell ref="P28:P29"/>
    <mergeCell ref="K67:K68"/>
    <mergeCell ref="R41:R42"/>
    <mergeCell ref="O41:O42"/>
    <mergeCell ref="P41:P42"/>
    <mergeCell ref="Q28:Q29"/>
    <mergeCell ref="Q54:Q55"/>
    <mergeCell ref="R54:R55"/>
    <mergeCell ref="G102:G103"/>
  </mergeCells>
  <phoneticPr fontId="0" type="noConversion"/>
  <pageMargins left="0.39370078740157483" right="0.35433070866141736" top="0.98425196850393704" bottom="0.78740157480314965" header="0.39370078740157483" footer="0.39370078740157483"/>
  <pageSetup paperSize="9" scale="51" fitToHeight="0" orientation="landscape" r:id="rId1"/>
  <headerFooter alignWithMargins="0">
    <oddFooter>&amp;L&amp;A&amp;C&amp;D</oddFooter>
  </headerFooter>
  <ignoredErrors>
    <ignoredError sqref="D14:H14 D27:H28 D19 D17 E172:AC172 E189:R189 D16:H16 D15 F15:H15 E154:S157 E171:R171 E173:S175 E159:S170 E158:R158 E178:S187 E177:R177 E153:R153 D26 E29:H29 F176:S176" unlockedFormula="1"/>
    <ignoredError sqref="D190:D203 D52:D53 D81:D82 D40:D45 D205:D206 D54" evalError="1"/>
    <ignoredError sqref="E188:S188 E190:S203 E205:S205" evalError="1" unlockedFormula="1"/>
    <ignoredError sqref="E206:S206 E207:S207" formulaRange="1" unlockedFormula="1"/>
    <ignoredError sqref="E45:S45" formulaRange="1"/>
    <ignoredError sqref="E60:S71" formula="1"/>
  </ignoredError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List39">
    <pageSetUpPr fitToPage="1"/>
  </sheetPr>
  <dimension ref="A1:AK134"/>
  <sheetViews>
    <sheetView defaultGridColor="0" topLeftCell="A15" colorId="23" zoomScaleNormal="100" workbookViewId="0">
      <selection activeCell="I21" sqref="I21"/>
    </sheetView>
  </sheetViews>
  <sheetFormatPr defaultColWidth="9.140625" defaultRowHeight="13.5" x14ac:dyDescent="0.3"/>
  <cols>
    <col min="1" max="1" width="2.7109375" style="227" customWidth="1"/>
    <col min="2" max="2" width="6.7109375" style="227" customWidth="1"/>
    <col min="3" max="3" width="35.42578125" style="227" customWidth="1"/>
    <col min="4" max="19" width="12.7109375" style="227" customWidth="1"/>
    <col min="20" max="29" width="10.42578125" style="227" customWidth="1"/>
    <col min="30" max="34" width="8.7109375" style="227" bestFit="1" customWidth="1"/>
    <col min="35" max="35" width="10.42578125" style="227" bestFit="1" customWidth="1"/>
    <col min="36" max="16384" width="9.140625" style="227"/>
  </cols>
  <sheetData>
    <row r="1" spans="1:28" ht="12.75" customHeight="1" thickBot="1" x14ac:dyDescent="0.35"/>
    <row r="2" spans="1:28" ht="14.25" x14ac:dyDescent="0.3">
      <c r="B2" s="773" t="s">
        <v>23</v>
      </c>
      <c r="C2" s="913" t="s">
        <v>1428</v>
      </c>
      <c r="D2" s="914"/>
      <c r="E2" s="1846">
        <f>E71</f>
        <v>2026</v>
      </c>
      <c r="F2" s="1846">
        <f t="shared" ref="F2:S2" si="0">E2+1</f>
        <v>2027</v>
      </c>
      <c r="G2" s="1846">
        <f t="shared" si="0"/>
        <v>2028</v>
      </c>
      <c r="H2" s="1846">
        <f t="shared" si="0"/>
        <v>2029</v>
      </c>
      <c r="I2" s="1846">
        <f t="shared" si="0"/>
        <v>2030</v>
      </c>
      <c r="J2" s="1846">
        <f t="shared" si="0"/>
        <v>2031</v>
      </c>
      <c r="K2" s="1846">
        <f t="shared" si="0"/>
        <v>2032</v>
      </c>
      <c r="L2" s="1846">
        <f t="shared" si="0"/>
        <v>2033</v>
      </c>
      <c r="M2" s="1846">
        <f t="shared" si="0"/>
        <v>2034</v>
      </c>
      <c r="N2" s="1846">
        <f t="shared" si="0"/>
        <v>2035</v>
      </c>
      <c r="O2" s="1846">
        <f t="shared" si="0"/>
        <v>2036</v>
      </c>
      <c r="P2" s="1846">
        <f t="shared" si="0"/>
        <v>2037</v>
      </c>
      <c r="Q2" s="1846">
        <f t="shared" si="0"/>
        <v>2038</v>
      </c>
      <c r="R2" s="1846">
        <f t="shared" si="0"/>
        <v>2039</v>
      </c>
      <c r="S2" s="1852">
        <f t="shared" si="0"/>
        <v>2040</v>
      </c>
      <c r="T2" s="228"/>
      <c r="U2" s="228"/>
      <c r="V2" s="228"/>
      <c r="W2" s="228"/>
      <c r="X2" s="228"/>
      <c r="Y2" s="228"/>
      <c r="Z2" s="228"/>
      <c r="AA2" s="228"/>
      <c r="AB2" s="228"/>
    </row>
    <row r="3" spans="1:28" ht="15" thickBot="1" x14ac:dyDescent="0.35">
      <c r="B3" s="775" t="s">
        <v>4</v>
      </c>
      <c r="C3" s="785" t="str">
        <f>C44</f>
        <v>Scénář s projektem</v>
      </c>
      <c r="D3" s="915" t="s">
        <v>1433</v>
      </c>
      <c r="E3" s="1847"/>
      <c r="F3" s="1847"/>
      <c r="G3" s="1847"/>
      <c r="H3" s="1847"/>
      <c r="I3" s="1847"/>
      <c r="J3" s="1847"/>
      <c r="K3" s="1847"/>
      <c r="L3" s="1847"/>
      <c r="M3" s="1847"/>
      <c r="N3" s="1847"/>
      <c r="O3" s="1847"/>
      <c r="P3" s="1847"/>
      <c r="Q3" s="1847"/>
      <c r="R3" s="1847"/>
      <c r="S3" s="1853"/>
      <c r="T3" s="228"/>
      <c r="U3" s="228"/>
      <c r="V3" s="228"/>
      <c r="W3" s="228"/>
      <c r="X3" s="228"/>
      <c r="Y3" s="228"/>
      <c r="Z3" s="228"/>
      <c r="AA3" s="228"/>
      <c r="AB3" s="228"/>
    </row>
    <row r="4" spans="1:28" ht="14.25" x14ac:dyDescent="0.3">
      <c r="A4" s="472"/>
      <c r="B4" s="795"/>
      <c r="C4" s="796" t="s">
        <v>1429</v>
      </c>
      <c r="D4" s="916">
        <f>IFERROR(AVERAGE(E4:S4,E12:S12),0)</f>
        <v>0</v>
      </c>
      <c r="E4" s="578"/>
      <c r="F4" s="578"/>
      <c r="G4" s="578"/>
      <c r="H4" s="578"/>
      <c r="I4" s="578"/>
      <c r="J4" s="578"/>
      <c r="K4" s="578"/>
      <c r="L4" s="578"/>
      <c r="M4" s="578"/>
      <c r="N4" s="578"/>
      <c r="O4" s="578"/>
      <c r="P4" s="578"/>
      <c r="Q4" s="578"/>
      <c r="R4" s="578"/>
      <c r="S4" s="578"/>
      <c r="T4" s="473"/>
      <c r="U4" s="228"/>
      <c r="V4" s="228"/>
      <c r="W4" s="228"/>
      <c r="X4" s="228"/>
      <c r="Y4" s="228"/>
      <c r="Z4" s="228"/>
      <c r="AA4" s="228"/>
      <c r="AB4" s="228"/>
    </row>
    <row r="5" spans="1:28" ht="14.25" x14ac:dyDescent="0.3">
      <c r="A5" s="472"/>
      <c r="B5" s="795"/>
      <c r="C5" s="796" t="s">
        <v>1430</v>
      </c>
      <c r="D5" s="917">
        <f t="shared" ref="D5:D7" si="1">IFERROR(AVERAGE(E5:S5,E13:S13),0)</f>
        <v>0</v>
      </c>
      <c r="E5" s="578"/>
      <c r="F5" s="578"/>
      <c r="G5" s="578"/>
      <c r="H5" s="578"/>
      <c r="I5" s="578"/>
      <c r="J5" s="578"/>
      <c r="K5" s="578"/>
      <c r="L5" s="578"/>
      <c r="M5" s="578"/>
      <c r="N5" s="578"/>
      <c r="O5" s="578"/>
      <c r="P5" s="578"/>
      <c r="Q5" s="578"/>
      <c r="R5" s="578"/>
      <c r="S5" s="578"/>
      <c r="T5" s="473"/>
      <c r="U5" s="228"/>
      <c r="V5" s="228"/>
      <c r="W5" s="228"/>
      <c r="X5" s="228"/>
      <c r="Y5" s="228"/>
      <c r="Z5" s="228"/>
      <c r="AA5" s="228"/>
      <c r="AB5" s="228"/>
    </row>
    <row r="6" spans="1:28" ht="14.25" x14ac:dyDescent="0.3">
      <c r="A6" s="472"/>
      <c r="B6" s="795"/>
      <c r="C6" s="796" t="s">
        <v>1431</v>
      </c>
      <c r="D6" s="917">
        <f t="shared" si="1"/>
        <v>0</v>
      </c>
      <c r="E6" s="578"/>
      <c r="F6" s="578"/>
      <c r="G6" s="578"/>
      <c r="H6" s="578"/>
      <c r="I6" s="578"/>
      <c r="J6" s="578"/>
      <c r="K6" s="578"/>
      <c r="L6" s="578"/>
      <c r="M6" s="578"/>
      <c r="N6" s="578"/>
      <c r="O6" s="578"/>
      <c r="P6" s="578"/>
      <c r="Q6" s="578"/>
      <c r="R6" s="578"/>
      <c r="S6" s="578"/>
      <c r="T6" s="473"/>
      <c r="U6" s="228"/>
      <c r="V6" s="228"/>
      <c r="W6" s="228"/>
      <c r="X6" s="228"/>
      <c r="Y6" s="228"/>
      <c r="Z6" s="228"/>
      <c r="AA6" s="228"/>
      <c r="AB6" s="228"/>
    </row>
    <row r="7" spans="1:28" ht="14.25" x14ac:dyDescent="0.3">
      <c r="A7" s="472"/>
      <c r="B7" s="795"/>
      <c r="C7" s="796" t="s">
        <v>1432</v>
      </c>
      <c r="D7" s="917">
        <f t="shared" si="1"/>
        <v>0</v>
      </c>
      <c r="E7" s="578"/>
      <c r="F7" s="578"/>
      <c r="G7" s="578"/>
      <c r="H7" s="578"/>
      <c r="I7" s="578"/>
      <c r="J7" s="578"/>
      <c r="K7" s="578"/>
      <c r="L7" s="578"/>
      <c r="M7" s="578"/>
      <c r="N7" s="578"/>
      <c r="O7" s="578"/>
      <c r="P7" s="578"/>
      <c r="Q7" s="578"/>
      <c r="R7" s="578"/>
      <c r="S7" s="578"/>
      <c r="T7" s="473"/>
      <c r="U7" s="228"/>
      <c r="V7" s="228"/>
      <c r="W7" s="228"/>
      <c r="X7" s="228"/>
      <c r="Y7" s="228"/>
      <c r="Z7" s="228"/>
      <c r="AA7" s="228"/>
      <c r="AB7" s="228"/>
    </row>
    <row r="8" spans="1:28" ht="15" thickBot="1" x14ac:dyDescent="0.35">
      <c r="B8" s="778"/>
      <c r="C8" s="779" t="str">
        <f>D3</f>
        <v>Průměr</v>
      </c>
      <c r="D8" s="918"/>
      <c r="E8" s="919">
        <f>IFERROR(AVERAGE(E4:E7),0)</f>
        <v>0</v>
      </c>
      <c r="F8" s="920">
        <f t="shared" ref="F8:S8" si="2">IFERROR(AVERAGE(F4:F7),0)</f>
        <v>0</v>
      </c>
      <c r="G8" s="920">
        <f t="shared" si="2"/>
        <v>0</v>
      </c>
      <c r="H8" s="920">
        <f t="shared" si="2"/>
        <v>0</v>
      </c>
      <c r="I8" s="920">
        <f t="shared" si="2"/>
        <v>0</v>
      </c>
      <c r="J8" s="920">
        <f t="shared" si="2"/>
        <v>0</v>
      </c>
      <c r="K8" s="920">
        <f t="shared" si="2"/>
        <v>0</v>
      </c>
      <c r="L8" s="920">
        <f t="shared" si="2"/>
        <v>0</v>
      </c>
      <c r="M8" s="920">
        <f t="shared" si="2"/>
        <v>0</v>
      </c>
      <c r="N8" s="920">
        <f t="shared" si="2"/>
        <v>0</v>
      </c>
      <c r="O8" s="920">
        <f t="shared" si="2"/>
        <v>0</v>
      </c>
      <c r="P8" s="920">
        <f t="shared" si="2"/>
        <v>0</v>
      </c>
      <c r="Q8" s="920">
        <f t="shared" si="2"/>
        <v>0</v>
      </c>
      <c r="R8" s="920">
        <f t="shared" si="2"/>
        <v>0</v>
      </c>
      <c r="S8" s="921">
        <f t="shared" si="2"/>
        <v>0</v>
      </c>
    </row>
    <row r="9" spans="1:28" ht="14.25" thickBot="1" x14ac:dyDescent="0.35">
      <c r="B9" s="783"/>
      <c r="C9" s="769"/>
      <c r="D9" s="770"/>
      <c r="E9" s="770"/>
      <c r="F9" s="770"/>
      <c r="G9" s="770"/>
      <c r="H9" s="770"/>
      <c r="I9" s="770"/>
      <c r="J9" s="770"/>
      <c r="K9" s="770"/>
      <c r="L9" s="770"/>
      <c r="M9" s="770"/>
      <c r="N9" s="770"/>
      <c r="O9" s="770"/>
      <c r="P9" s="770"/>
      <c r="Q9" s="770"/>
      <c r="R9" s="770"/>
      <c r="S9" s="770"/>
    </row>
    <row r="10" spans="1:28" ht="14.25" x14ac:dyDescent="0.3">
      <c r="B10" s="773" t="str">
        <f>B2</f>
        <v>5.1.</v>
      </c>
      <c r="C10" s="784" t="str">
        <f>C2</f>
        <v>Jednotkové náklady (Kč/vozový km)</v>
      </c>
      <c r="D10" s="922"/>
      <c r="E10" s="1854">
        <f>S2+1</f>
        <v>2041</v>
      </c>
      <c r="F10" s="1846">
        <f t="shared" ref="F10:S10" si="3">E10+1</f>
        <v>2042</v>
      </c>
      <c r="G10" s="1846">
        <f t="shared" si="3"/>
        <v>2043</v>
      </c>
      <c r="H10" s="1846">
        <f t="shared" si="3"/>
        <v>2044</v>
      </c>
      <c r="I10" s="1846">
        <f t="shared" si="3"/>
        <v>2045</v>
      </c>
      <c r="J10" s="1846">
        <f t="shared" si="3"/>
        <v>2046</v>
      </c>
      <c r="K10" s="1846">
        <f t="shared" si="3"/>
        <v>2047</v>
      </c>
      <c r="L10" s="1846">
        <f t="shared" si="3"/>
        <v>2048</v>
      </c>
      <c r="M10" s="1846">
        <f t="shared" si="3"/>
        <v>2049</v>
      </c>
      <c r="N10" s="1846">
        <f t="shared" si="3"/>
        <v>2050</v>
      </c>
      <c r="O10" s="1846">
        <f t="shared" si="3"/>
        <v>2051</v>
      </c>
      <c r="P10" s="1846">
        <f t="shared" si="3"/>
        <v>2052</v>
      </c>
      <c r="Q10" s="1846">
        <f t="shared" si="3"/>
        <v>2053</v>
      </c>
      <c r="R10" s="1846">
        <f t="shared" si="3"/>
        <v>2054</v>
      </c>
      <c r="S10" s="1852">
        <f t="shared" si="3"/>
        <v>2055</v>
      </c>
    </row>
    <row r="11" spans="1:28" ht="15" thickBot="1" x14ac:dyDescent="0.35">
      <c r="B11" s="775" t="s">
        <v>5</v>
      </c>
      <c r="C11" s="785" t="str">
        <f t="shared" ref="C11:C16" si="4">C3</f>
        <v>Scénář s projektem</v>
      </c>
      <c r="D11" s="923"/>
      <c r="E11" s="1855"/>
      <c r="F11" s="1847"/>
      <c r="G11" s="1847"/>
      <c r="H11" s="1847"/>
      <c r="I11" s="1847"/>
      <c r="J11" s="1847"/>
      <c r="K11" s="1847"/>
      <c r="L11" s="1847"/>
      <c r="M11" s="1847"/>
      <c r="N11" s="1847"/>
      <c r="O11" s="1847"/>
      <c r="P11" s="1847"/>
      <c r="Q11" s="1847"/>
      <c r="R11" s="1847"/>
      <c r="S11" s="1853"/>
    </row>
    <row r="12" spans="1:28" ht="14.25" x14ac:dyDescent="0.3">
      <c r="B12" s="135"/>
      <c r="C12" s="136" t="str">
        <f t="shared" si="4"/>
        <v>jednotkové náklady BUS (Kč/vzkm)</v>
      </c>
      <c r="D12" s="924"/>
      <c r="E12" s="578"/>
      <c r="F12" s="578"/>
      <c r="G12" s="578"/>
      <c r="H12" s="578"/>
      <c r="I12" s="578"/>
      <c r="J12" s="578"/>
      <c r="K12" s="578"/>
      <c r="L12" s="578"/>
      <c r="M12" s="578"/>
      <c r="N12" s="578"/>
      <c r="O12" s="578"/>
      <c r="P12" s="578"/>
      <c r="Q12" s="578"/>
      <c r="R12" s="578"/>
      <c r="S12" s="578"/>
      <c r="T12" s="474"/>
    </row>
    <row r="13" spans="1:28" ht="14.25" x14ac:dyDescent="0.3">
      <c r="B13" s="135"/>
      <c r="C13" s="136" t="str">
        <f t="shared" si="4"/>
        <v>jednotkové náklady trolejbus (Kč/vzkm)</v>
      </c>
      <c r="D13" s="854"/>
      <c r="E13" s="578"/>
      <c r="F13" s="578"/>
      <c r="G13" s="578"/>
      <c r="H13" s="578"/>
      <c r="I13" s="578"/>
      <c r="J13" s="578"/>
      <c r="K13" s="578"/>
      <c r="L13" s="578"/>
      <c r="M13" s="578"/>
      <c r="N13" s="578"/>
      <c r="O13" s="578"/>
      <c r="P13" s="578"/>
      <c r="Q13" s="578"/>
      <c r="R13" s="578"/>
      <c r="S13" s="578"/>
      <c r="T13" s="474"/>
    </row>
    <row r="14" spans="1:28" ht="14.25" x14ac:dyDescent="0.3">
      <c r="B14" s="135"/>
      <c r="C14" s="136" t="str">
        <f t="shared" si="4"/>
        <v>jednotkové náklady tramvaj (Kč/vzkm)</v>
      </c>
      <c r="D14" s="854"/>
      <c r="E14" s="578"/>
      <c r="F14" s="578"/>
      <c r="G14" s="578"/>
      <c r="H14" s="578"/>
      <c r="I14" s="578"/>
      <c r="J14" s="578"/>
      <c r="K14" s="578"/>
      <c r="L14" s="578"/>
      <c r="M14" s="578"/>
      <c r="N14" s="578"/>
      <c r="O14" s="578"/>
      <c r="P14" s="578"/>
      <c r="Q14" s="578"/>
      <c r="R14" s="578"/>
      <c r="S14" s="578"/>
      <c r="T14" s="474"/>
    </row>
    <row r="15" spans="1:28" ht="14.25" x14ac:dyDescent="0.3">
      <c r="B15" s="135"/>
      <c r="C15" s="136" t="str">
        <f t="shared" si="4"/>
        <v>jednotkové náklady metro (Kč/vzkm)</v>
      </c>
      <c r="D15" s="854"/>
      <c r="E15" s="578"/>
      <c r="F15" s="578"/>
      <c r="G15" s="578"/>
      <c r="H15" s="578"/>
      <c r="I15" s="578"/>
      <c r="J15" s="578"/>
      <c r="K15" s="578"/>
      <c r="L15" s="578"/>
      <c r="M15" s="578"/>
      <c r="N15" s="578"/>
      <c r="O15" s="578"/>
      <c r="P15" s="578"/>
      <c r="Q15" s="578"/>
      <c r="R15" s="578"/>
      <c r="S15" s="578"/>
      <c r="T15" s="474"/>
    </row>
    <row r="16" spans="1:28" ht="15" thickBot="1" x14ac:dyDescent="0.35">
      <c r="B16" s="778"/>
      <c r="C16" s="779" t="str">
        <f t="shared" si="4"/>
        <v>Průměr</v>
      </c>
      <c r="D16" s="925"/>
      <c r="E16" s="919">
        <f>IFERROR(AVERAGE(E12:E15),0)</f>
        <v>0</v>
      </c>
      <c r="F16" s="920">
        <f t="shared" ref="F16:S16" si="5">IFERROR(AVERAGE(F12:F15),0)</f>
        <v>0</v>
      </c>
      <c r="G16" s="920">
        <f t="shared" si="5"/>
        <v>0</v>
      </c>
      <c r="H16" s="920">
        <f t="shared" si="5"/>
        <v>0</v>
      </c>
      <c r="I16" s="920">
        <f t="shared" si="5"/>
        <v>0</v>
      </c>
      <c r="J16" s="920">
        <f t="shared" si="5"/>
        <v>0</v>
      </c>
      <c r="K16" s="920">
        <f t="shared" si="5"/>
        <v>0</v>
      </c>
      <c r="L16" s="920">
        <f t="shared" si="5"/>
        <v>0</v>
      </c>
      <c r="M16" s="920">
        <f t="shared" si="5"/>
        <v>0</v>
      </c>
      <c r="N16" s="920">
        <f t="shared" si="5"/>
        <v>0</v>
      </c>
      <c r="O16" s="920">
        <f t="shared" si="5"/>
        <v>0</v>
      </c>
      <c r="P16" s="920">
        <f t="shared" si="5"/>
        <v>0</v>
      </c>
      <c r="Q16" s="920">
        <f t="shared" si="5"/>
        <v>0</v>
      </c>
      <c r="R16" s="920">
        <f t="shared" si="5"/>
        <v>0</v>
      </c>
      <c r="S16" s="921">
        <f t="shared" si="5"/>
        <v>0</v>
      </c>
    </row>
    <row r="17" spans="1:37" ht="14.25" thickBot="1" x14ac:dyDescent="0.35">
      <c r="B17" s="787"/>
      <c r="C17" s="788"/>
      <c r="D17" s="770"/>
      <c r="E17" s="789"/>
      <c r="F17" s="789"/>
      <c r="G17" s="789"/>
      <c r="H17" s="789"/>
      <c r="I17" s="789"/>
      <c r="J17" s="789"/>
      <c r="K17" s="789"/>
      <c r="L17" s="789"/>
      <c r="M17" s="789"/>
      <c r="N17" s="789"/>
      <c r="O17" s="789"/>
      <c r="P17" s="789"/>
      <c r="Q17" s="789"/>
      <c r="R17" s="789"/>
      <c r="S17" s="789"/>
    </row>
    <row r="18" spans="1:37" ht="14.25" x14ac:dyDescent="0.3">
      <c r="B18" s="790" t="s">
        <v>24</v>
      </c>
      <c r="C18" s="803" t="str">
        <f>C2</f>
        <v>Jednotkové náklady (Kč/vozový km)</v>
      </c>
      <c r="D18" s="926"/>
      <c r="E18" s="1848">
        <f>E2</f>
        <v>2026</v>
      </c>
      <c r="F18" s="1848">
        <f t="shared" ref="F18:S18" si="6">E18+1</f>
        <v>2027</v>
      </c>
      <c r="G18" s="1848">
        <f t="shared" si="6"/>
        <v>2028</v>
      </c>
      <c r="H18" s="1848">
        <f t="shared" si="6"/>
        <v>2029</v>
      </c>
      <c r="I18" s="1848">
        <f t="shared" si="6"/>
        <v>2030</v>
      </c>
      <c r="J18" s="1848">
        <f t="shared" si="6"/>
        <v>2031</v>
      </c>
      <c r="K18" s="1848">
        <f t="shared" si="6"/>
        <v>2032</v>
      </c>
      <c r="L18" s="1848">
        <f t="shared" si="6"/>
        <v>2033</v>
      </c>
      <c r="M18" s="1848">
        <f t="shared" si="6"/>
        <v>2034</v>
      </c>
      <c r="N18" s="1848">
        <f t="shared" si="6"/>
        <v>2035</v>
      </c>
      <c r="O18" s="1848">
        <f t="shared" si="6"/>
        <v>2036</v>
      </c>
      <c r="P18" s="1848">
        <f t="shared" si="6"/>
        <v>2037</v>
      </c>
      <c r="Q18" s="1848">
        <f t="shared" si="6"/>
        <v>2038</v>
      </c>
      <c r="R18" s="1848">
        <f t="shared" si="6"/>
        <v>2039</v>
      </c>
      <c r="S18" s="1856">
        <f t="shared" si="6"/>
        <v>2040</v>
      </c>
    </row>
    <row r="19" spans="1:37" ht="13.5" customHeight="1" thickBot="1" x14ac:dyDescent="0.35">
      <c r="B19" s="792" t="s">
        <v>4</v>
      </c>
      <c r="C19" s="804" t="str">
        <f>C53</f>
        <v>Scénář bez projektu</v>
      </c>
      <c r="D19" s="927" t="str">
        <f>C8</f>
        <v>Průměr</v>
      </c>
      <c r="E19" s="1849"/>
      <c r="F19" s="1849"/>
      <c r="G19" s="1849"/>
      <c r="H19" s="1849"/>
      <c r="I19" s="1849"/>
      <c r="J19" s="1849"/>
      <c r="K19" s="1849"/>
      <c r="L19" s="1849"/>
      <c r="M19" s="1849"/>
      <c r="N19" s="1849"/>
      <c r="O19" s="1849"/>
      <c r="P19" s="1849"/>
      <c r="Q19" s="1849"/>
      <c r="R19" s="1849"/>
      <c r="S19" s="1857"/>
      <c r="T19" s="229"/>
    </row>
    <row r="20" spans="1:37" ht="13.15" customHeight="1" x14ac:dyDescent="0.3">
      <c r="A20" s="472"/>
      <c r="B20" s="795"/>
      <c r="C20" s="796" t="str">
        <f>C4</f>
        <v>jednotkové náklady BUS (Kč/vzkm)</v>
      </c>
      <c r="D20" s="916">
        <f>IFERROR(AVERAGE(E20:S20,E28:S28),0)</f>
        <v>0</v>
      </c>
      <c r="E20" s="578"/>
      <c r="F20" s="578"/>
      <c r="G20" s="578"/>
      <c r="H20" s="578"/>
      <c r="I20" s="578"/>
      <c r="J20" s="578"/>
      <c r="K20" s="578"/>
      <c r="L20" s="578"/>
      <c r="M20" s="578"/>
      <c r="N20" s="578"/>
      <c r="O20" s="578"/>
      <c r="P20" s="578"/>
      <c r="Q20" s="578"/>
      <c r="R20" s="578"/>
      <c r="S20" s="578"/>
      <c r="T20" s="475"/>
      <c r="U20" s="229"/>
      <c r="V20" s="229"/>
      <c r="W20" s="229"/>
      <c r="X20" s="229"/>
      <c r="Y20" s="229"/>
      <c r="Z20" s="229"/>
      <c r="AA20" s="229"/>
      <c r="AD20" s="229"/>
      <c r="AE20" s="229"/>
      <c r="AF20" s="229"/>
      <c r="AG20" s="229"/>
      <c r="AH20" s="229"/>
      <c r="AI20" s="229"/>
      <c r="AJ20" s="229"/>
      <c r="AK20" s="229"/>
    </row>
    <row r="21" spans="1:37" ht="13.15" customHeight="1" x14ac:dyDescent="0.3">
      <c r="A21" s="472"/>
      <c r="B21" s="795"/>
      <c r="C21" s="796" t="str">
        <f>C5</f>
        <v>jednotkové náklady trolejbus (Kč/vzkm)</v>
      </c>
      <c r="D21" s="917">
        <f t="shared" ref="D21:D23" si="7">IFERROR(AVERAGE(E21:S21,E29:S29),0)</f>
        <v>0</v>
      </c>
      <c r="E21" s="578"/>
      <c r="F21" s="578"/>
      <c r="G21" s="578"/>
      <c r="H21" s="578"/>
      <c r="I21" s="578"/>
      <c r="J21" s="578"/>
      <c r="K21" s="578"/>
      <c r="L21" s="578"/>
      <c r="M21" s="578"/>
      <c r="N21" s="578"/>
      <c r="O21" s="578"/>
      <c r="P21" s="578"/>
      <c r="Q21" s="578"/>
      <c r="R21" s="578"/>
      <c r="S21" s="578"/>
      <c r="T21" s="475"/>
      <c r="U21" s="229"/>
      <c r="V21" s="229"/>
      <c r="W21" s="229"/>
      <c r="X21" s="229"/>
      <c r="Y21" s="229"/>
      <c r="Z21" s="229"/>
      <c r="AA21" s="229"/>
      <c r="AD21" s="229"/>
      <c r="AE21" s="229"/>
      <c r="AF21" s="229"/>
      <c r="AG21" s="229"/>
      <c r="AH21" s="229"/>
      <c r="AI21" s="229"/>
      <c r="AJ21" s="229"/>
      <c r="AK21" s="229"/>
    </row>
    <row r="22" spans="1:37" ht="13.15" customHeight="1" x14ac:dyDescent="0.3">
      <c r="A22" s="472"/>
      <c r="B22" s="795"/>
      <c r="C22" s="796" t="str">
        <f>C6</f>
        <v>jednotkové náklady tramvaj (Kč/vzkm)</v>
      </c>
      <c r="D22" s="917">
        <f t="shared" si="7"/>
        <v>0</v>
      </c>
      <c r="E22" s="578"/>
      <c r="F22" s="578"/>
      <c r="G22" s="578"/>
      <c r="H22" s="578"/>
      <c r="I22" s="578"/>
      <c r="J22" s="578"/>
      <c r="K22" s="578"/>
      <c r="L22" s="578"/>
      <c r="M22" s="578"/>
      <c r="N22" s="578"/>
      <c r="O22" s="578"/>
      <c r="P22" s="578"/>
      <c r="Q22" s="578"/>
      <c r="R22" s="578"/>
      <c r="S22" s="578"/>
      <c r="T22" s="475"/>
      <c r="U22" s="229"/>
      <c r="V22" s="229"/>
      <c r="W22" s="229"/>
      <c r="X22" s="229"/>
      <c r="Y22" s="229"/>
      <c r="Z22" s="229"/>
      <c r="AA22" s="229"/>
      <c r="AD22" s="229"/>
      <c r="AE22" s="229"/>
      <c r="AF22" s="229"/>
      <c r="AG22" s="229"/>
      <c r="AH22" s="229"/>
      <c r="AI22" s="229"/>
      <c r="AJ22" s="229"/>
      <c r="AK22" s="229"/>
    </row>
    <row r="23" spans="1:37" ht="13.15" customHeight="1" x14ac:dyDescent="0.3">
      <c r="A23" s="472"/>
      <c r="B23" s="795"/>
      <c r="C23" s="796" t="str">
        <f>C7</f>
        <v>jednotkové náklady metro (Kč/vzkm)</v>
      </c>
      <c r="D23" s="917">
        <f t="shared" si="7"/>
        <v>0</v>
      </c>
      <c r="E23" s="578"/>
      <c r="F23" s="578"/>
      <c r="G23" s="578"/>
      <c r="H23" s="578"/>
      <c r="I23" s="578"/>
      <c r="J23" s="578"/>
      <c r="K23" s="578"/>
      <c r="L23" s="578"/>
      <c r="M23" s="578"/>
      <c r="N23" s="578"/>
      <c r="O23" s="578"/>
      <c r="P23" s="578"/>
      <c r="Q23" s="578"/>
      <c r="R23" s="578"/>
      <c r="S23" s="578"/>
      <c r="T23" s="475"/>
      <c r="U23" s="229"/>
      <c r="V23" s="229"/>
      <c r="W23" s="229"/>
      <c r="X23" s="229"/>
      <c r="Y23" s="229"/>
      <c r="Z23" s="229"/>
      <c r="AA23" s="229"/>
      <c r="AD23" s="229"/>
      <c r="AE23" s="229"/>
      <c r="AF23" s="229"/>
      <c r="AG23" s="229"/>
      <c r="AH23" s="229"/>
      <c r="AI23" s="229"/>
      <c r="AJ23" s="229"/>
      <c r="AK23" s="229"/>
    </row>
    <row r="24" spans="1:37" ht="13.9" customHeight="1" thickBot="1" x14ac:dyDescent="0.35">
      <c r="B24" s="798"/>
      <c r="C24" s="799" t="str">
        <f>D19</f>
        <v>Průměr</v>
      </c>
      <c r="D24" s="928"/>
      <c r="E24" s="929">
        <f>IFERROR(AVERAGE(E20:E23),0)</f>
        <v>0</v>
      </c>
      <c r="F24" s="930">
        <f t="shared" ref="F24:S24" si="8">IFERROR(AVERAGE(F20:F23),0)</f>
        <v>0</v>
      </c>
      <c r="G24" s="930">
        <f t="shared" si="8"/>
        <v>0</v>
      </c>
      <c r="H24" s="930">
        <f t="shared" si="8"/>
        <v>0</v>
      </c>
      <c r="I24" s="930">
        <f t="shared" si="8"/>
        <v>0</v>
      </c>
      <c r="J24" s="930">
        <f t="shared" si="8"/>
        <v>0</v>
      </c>
      <c r="K24" s="930">
        <f t="shared" si="8"/>
        <v>0</v>
      </c>
      <c r="L24" s="930">
        <f t="shared" si="8"/>
        <v>0</v>
      </c>
      <c r="M24" s="930">
        <f t="shared" si="8"/>
        <v>0</v>
      </c>
      <c r="N24" s="930">
        <f t="shared" si="8"/>
        <v>0</v>
      </c>
      <c r="O24" s="930">
        <f t="shared" si="8"/>
        <v>0</v>
      </c>
      <c r="P24" s="930">
        <f t="shared" si="8"/>
        <v>0</v>
      </c>
      <c r="Q24" s="930">
        <f t="shared" si="8"/>
        <v>0</v>
      </c>
      <c r="R24" s="930">
        <f t="shared" si="8"/>
        <v>0</v>
      </c>
      <c r="S24" s="931">
        <f t="shared" si="8"/>
        <v>0</v>
      </c>
      <c r="T24" s="228"/>
      <c r="U24" s="228"/>
      <c r="V24" s="228"/>
      <c r="W24" s="228"/>
      <c r="X24" s="228"/>
      <c r="Y24" s="228"/>
      <c r="Z24" s="228"/>
      <c r="AA24" s="228"/>
      <c r="AD24" s="228"/>
      <c r="AE24" s="228"/>
      <c r="AF24" s="228"/>
      <c r="AG24" s="228"/>
      <c r="AH24" s="228"/>
      <c r="AI24" s="228"/>
      <c r="AJ24" s="228"/>
      <c r="AK24" s="228"/>
    </row>
    <row r="25" spans="1:37" ht="13.9" customHeight="1" thickBot="1" x14ac:dyDescent="0.35">
      <c r="B25" s="783"/>
      <c r="C25" s="769"/>
      <c r="D25" s="770"/>
      <c r="E25" s="770"/>
      <c r="F25" s="770"/>
      <c r="G25" s="770"/>
      <c r="H25" s="770"/>
      <c r="I25" s="770"/>
      <c r="J25" s="770"/>
      <c r="K25" s="770"/>
      <c r="L25" s="770"/>
      <c r="M25" s="770"/>
      <c r="N25" s="770"/>
      <c r="O25" s="770"/>
      <c r="P25" s="770"/>
      <c r="Q25" s="770"/>
      <c r="R25" s="770"/>
      <c r="S25" s="770"/>
      <c r="T25" s="228"/>
      <c r="U25" s="228"/>
      <c r="V25" s="228"/>
      <c r="W25" s="228"/>
      <c r="X25" s="228"/>
      <c r="Y25" s="228"/>
      <c r="Z25" s="228"/>
      <c r="AA25" s="228"/>
      <c r="AD25" s="228"/>
      <c r="AE25" s="228"/>
      <c r="AF25" s="228"/>
      <c r="AG25" s="228"/>
      <c r="AH25" s="228"/>
      <c r="AI25" s="228"/>
      <c r="AJ25" s="228"/>
      <c r="AK25" s="228"/>
    </row>
    <row r="26" spans="1:37" ht="13.15" customHeight="1" x14ac:dyDescent="0.3">
      <c r="B26" s="790" t="str">
        <f>B18</f>
        <v>5.2.</v>
      </c>
      <c r="C26" s="803" t="str">
        <f>C18</f>
        <v>Jednotkové náklady (Kč/vozový km)</v>
      </c>
      <c r="D26" s="932"/>
      <c r="E26" s="1880">
        <f>S18+1</f>
        <v>2041</v>
      </c>
      <c r="F26" s="1848">
        <f t="shared" ref="F26:S26" si="9">E26+1</f>
        <v>2042</v>
      </c>
      <c r="G26" s="1848">
        <f t="shared" si="9"/>
        <v>2043</v>
      </c>
      <c r="H26" s="1848">
        <f t="shared" si="9"/>
        <v>2044</v>
      </c>
      <c r="I26" s="1848">
        <f t="shared" si="9"/>
        <v>2045</v>
      </c>
      <c r="J26" s="1848">
        <f t="shared" si="9"/>
        <v>2046</v>
      </c>
      <c r="K26" s="1848">
        <f t="shared" si="9"/>
        <v>2047</v>
      </c>
      <c r="L26" s="1848">
        <f t="shared" si="9"/>
        <v>2048</v>
      </c>
      <c r="M26" s="1848">
        <f t="shared" si="9"/>
        <v>2049</v>
      </c>
      <c r="N26" s="1848">
        <f t="shared" si="9"/>
        <v>2050</v>
      </c>
      <c r="O26" s="1848">
        <f t="shared" si="9"/>
        <v>2051</v>
      </c>
      <c r="P26" s="1848">
        <f t="shared" si="9"/>
        <v>2052</v>
      </c>
      <c r="Q26" s="1848">
        <f t="shared" si="9"/>
        <v>2053</v>
      </c>
      <c r="R26" s="1848">
        <f t="shared" si="9"/>
        <v>2054</v>
      </c>
      <c r="S26" s="1856">
        <f t="shared" si="9"/>
        <v>2055</v>
      </c>
      <c r="T26" s="230"/>
      <c r="U26" s="230"/>
      <c r="V26" s="230"/>
      <c r="W26" s="230"/>
      <c r="X26" s="230"/>
      <c r="Y26" s="230"/>
      <c r="Z26" s="230"/>
      <c r="AA26" s="230"/>
      <c r="AD26" s="228"/>
      <c r="AE26" s="228"/>
      <c r="AF26" s="228"/>
      <c r="AG26" s="228"/>
      <c r="AH26" s="228"/>
      <c r="AI26" s="228"/>
      <c r="AJ26" s="228"/>
      <c r="AK26" s="228"/>
    </row>
    <row r="27" spans="1:37" ht="13.9" customHeight="1" thickBot="1" x14ac:dyDescent="0.35">
      <c r="B27" s="792" t="s">
        <v>5</v>
      </c>
      <c r="C27" s="804" t="str">
        <f t="shared" ref="C27:C32" si="10">C19</f>
        <v>Scénář bez projektu</v>
      </c>
      <c r="D27" s="933"/>
      <c r="E27" s="1881">
        <f>S19+1</f>
        <v>1</v>
      </c>
      <c r="F27" s="1849"/>
      <c r="G27" s="1849"/>
      <c r="H27" s="1849"/>
      <c r="I27" s="1849"/>
      <c r="J27" s="1849"/>
      <c r="K27" s="1849"/>
      <c r="L27" s="1849"/>
      <c r="M27" s="1849"/>
      <c r="N27" s="1849"/>
      <c r="O27" s="1849"/>
      <c r="P27" s="1849"/>
      <c r="Q27" s="1849"/>
      <c r="R27" s="1849"/>
      <c r="S27" s="1857"/>
      <c r="AD27" s="230"/>
      <c r="AE27" s="230"/>
      <c r="AF27" s="230"/>
      <c r="AG27" s="230"/>
      <c r="AH27" s="230"/>
      <c r="AI27" s="230"/>
      <c r="AJ27" s="230"/>
      <c r="AK27" s="230"/>
    </row>
    <row r="28" spans="1:37" ht="14.25" x14ac:dyDescent="0.3">
      <c r="B28" s="135"/>
      <c r="C28" s="136" t="str">
        <f t="shared" si="10"/>
        <v>jednotkové náklady BUS (Kč/vzkm)</v>
      </c>
      <c r="D28" s="924"/>
      <c r="E28" s="578"/>
      <c r="F28" s="578"/>
      <c r="G28" s="578"/>
      <c r="H28" s="578"/>
      <c r="I28" s="578"/>
      <c r="J28" s="578"/>
      <c r="K28" s="578"/>
      <c r="L28" s="578"/>
      <c r="M28" s="578"/>
      <c r="N28" s="578"/>
      <c r="O28" s="578"/>
      <c r="P28" s="578"/>
      <c r="Q28" s="578"/>
      <c r="R28" s="578"/>
      <c r="S28" s="578"/>
      <c r="T28" s="474"/>
    </row>
    <row r="29" spans="1:37" ht="14.25" x14ac:dyDescent="0.3">
      <c r="B29" s="135"/>
      <c r="C29" s="136" t="str">
        <f t="shared" si="10"/>
        <v>jednotkové náklady trolejbus (Kč/vzkm)</v>
      </c>
      <c r="D29" s="854"/>
      <c r="E29" s="578"/>
      <c r="F29" s="578"/>
      <c r="G29" s="578"/>
      <c r="H29" s="578"/>
      <c r="I29" s="578"/>
      <c r="J29" s="578"/>
      <c r="K29" s="578"/>
      <c r="L29" s="578"/>
      <c r="M29" s="578"/>
      <c r="N29" s="578"/>
      <c r="O29" s="578"/>
      <c r="P29" s="578"/>
      <c r="Q29" s="578"/>
      <c r="R29" s="578"/>
      <c r="S29" s="578"/>
      <c r="T29" s="474"/>
    </row>
    <row r="30" spans="1:37" ht="14.25" x14ac:dyDescent="0.3">
      <c r="B30" s="135"/>
      <c r="C30" s="136" t="str">
        <f t="shared" si="10"/>
        <v>jednotkové náklady tramvaj (Kč/vzkm)</v>
      </c>
      <c r="D30" s="854"/>
      <c r="E30" s="578"/>
      <c r="F30" s="578"/>
      <c r="G30" s="578"/>
      <c r="H30" s="578"/>
      <c r="I30" s="578"/>
      <c r="J30" s="578"/>
      <c r="K30" s="578"/>
      <c r="L30" s="578"/>
      <c r="M30" s="578"/>
      <c r="N30" s="578"/>
      <c r="O30" s="578"/>
      <c r="P30" s="578"/>
      <c r="Q30" s="578"/>
      <c r="R30" s="578"/>
      <c r="S30" s="578"/>
      <c r="T30" s="474"/>
    </row>
    <row r="31" spans="1:37" ht="14.25" x14ac:dyDescent="0.3">
      <c r="B31" s="135"/>
      <c r="C31" s="136" t="str">
        <f t="shared" si="10"/>
        <v>jednotkové náklady metro (Kč/vzkm)</v>
      </c>
      <c r="D31" s="854"/>
      <c r="E31" s="578"/>
      <c r="F31" s="578"/>
      <c r="G31" s="578"/>
      <c r="H31" s="578"/>
      <c r="I31" s="578"/>
      <c r="J31" s="578"/>
      <c r="K31" s="578"/>
      <c r="L31" s="578"/>
      <c r="M31" s="578"/>
      <c r="N31" s="578"/>
      <c r="O31" s="578"/>
      <c r="P31" s="578"/>
      <c r="Q31" s="578"/>
      <c r="R31" s="578"/>
      <c r="S31" s="578"/>
      <c r="T31" s="474"/>
    </row>
    <row r="32" spans="1:37" ht="13.9" customHeight="1" thickBot="1" x14ac:dyDescent="0.35">
      <c r="B32" s="805"/>
      <c r="C32" s="799" t="str">
        <f t="shared" si="10"/>
        <v>Průměr</v>
      </c>
      <c r="D32" s="934"/>
      <c r="E32" s="929">
        <f>IFERROR(AVERAGE(E28:E31),0)</f>
        <v>0</v>
      </c>
      <c r="F32" s="930">
        <f t="shared" ref="F32:S32" si="11">IFERROR(AVERAGE(F28:F31),0)</f>
        <v>0</v>
      </c>
      <c r="G32" s="930">
        <f t="shared" si="11"/>
        <v>0</v>
      </c>
      <c r="H32" s="930">
        <f t="shared" si="11"/>
        <v>0</v>
      </c>
      <c r="I32" s="930">
        <f t="shared" si="11"/>
        <v>0</v>
      </c>
      <c r="J32" s="930">
        <f t="shared" si="11"/>
        <v>0</v>
      </c>
      <c r="K32" s="930">
        <f t="shared" si="11"/>
        <v>0</v>
      </c>
      <c r="L32" s="930">
        <f t="shared" si="11"/>
        <v>0</v>
      </c>
      <c r="M32" s="930">
        <f t="shared" si="11"/>
        <v>0</v>
      </c>
      <c r="N32" s="930">
        <f t="shared" si="11"/>
        <v>0</v>
      </c>
      <c r="O32" s="930">
        <f t="shared" si="11"/>
        <v>0</v>
      </c>
      <c r="P32" s="930">
        <f t="shared" si="11"/>
        <v>0</v>
      </c>
      <c r="Q32" s="930">
        <f t="shared" si="11"/>
        <v>0</v>
      </c>
      <c r="R32" s="930">
        <f t="shared" si="11"/>
        <v>0</v>
      </c>
      <c r="S32" s="931">
        <f t="shared" si="11"/>
        <v>0</v>
      </c>
    </row>
    <row r="33" spans="2:29" ht="12.75" customHeight="1" thickBot="1" x14ac:dyDescent="0.35">
      <c r="B33" s="769"/>
      <c r="C33" s="769"/>
      <c r="D33" s="769"/>
      <c r="E33" s="769"/>
      <c r="F33" s="769"/>
      <c r="G33" s="769"/>
      <c r="H33" s="769"/>
      <c r="I33" s="769"/>
      <c r="J33" s="769"/>
      <c r="K33" s="769"/>
      <c r="L33" s="769"/>
      <c r="M33" s="769"/>
      <c r="N33" s="769"/>
      <c r="O33" s="769"/>
      <c r="P33" s="769"/>
      <c r="Q33" s="769"/>
      <c r="R33" s="769"/>
      <c r="S33" s="769"/>
    </row>
    <row r="34" spans="2:29" ht="14.25" x14ac:dyDescent="0.3">
      <c r="B34" s="773" t="s">
        <v>20</v>
      </c>
      <c r="C34" s="784" t="s">
        <v>1435</v>
      </c>
      <c r="D34" s="914"/>
      <c r="E34" s="1854">
        <f>'1 CIN'!E3</f>
        <v>2026</v>
      </c>
      <c r="F34" s="1846">
        <f t="shared" ref="F34:S34" si="12">E34+1</f>
        <v>2027</v>
      </c>
      <c r="G34" s="1846">
        <f t="shared" si="12"/>
        <v>2028</v>
      </c>
      <c r="H34" s="1846">
        <f t="shared" si="12"/>
        <v>2029</v>
      </c>
      <c r="I34" s="1846">
        <f t="shared" si="12"/>
        <v>2030</v>
      </c>
      <c r="J34" s="1846">
        <f t="shared" si="12"/>
        <v>2031</v>
      </c>
      <c r="K34" s="1846">
        <f t="shared" si="12"/>
        <v>2032</v>
      </c>
      <c r="L34" s="1846">
        <f t="shared" si="12"/>
        <v>2033</v>
      </c>
      <c r="M34" s="1846">
        <f t="shared" si="12"/>
        <v>2034</v>
      </c>
      <c r="N34" s="1846">
        <f t="shared" si="12"/>
        <v>2035</v>
      </c>
      <c r="O34" s="1846">
        <f t="shared" si="12"/>
        <v>2036</v>
      </c>
      <c r="P34" s="1846">
        <f t="shared" si="12"/>
        <v>2037</v>
      </c>
      <c r="Q34" s="1846">
        <f t="shared" si="12"/>
        <v>2038</v>
      </c>
      <c r="R34" s="1846">
        <f t="shared" si="12"/>
        <v>2039</v>
      </c>
      <c r="S34" s="1852">
        <f t="shared" si="12"/>
        <v>2040</v>
      </c>
      <c r="T34" s="229"/>
      <c r="U34" s="229"/>
      <c r="V34" s="229"/>
      <c r="W34" s="229"/>
      <c r="X34" s="229"/>
      <c r="Y34" s="229"/>
      <c r="Z34" s="229"/>
      <c r="AA34" s="229"/>
      <c r="AB34" s="229"/>
      <c r="AC34" s="229"/>
    </row>
    <row r="35" spans="2:29" ht="15" thickBot="1" x14ac:dyDescent="0.35">
      <c r="B35" s="775" t="s">
        <v>4</v>
      </c>
      <c r="C35" s="785" t="str">
        <f>IF('0 Úvod'!$M$10="English",Slovnik!D167,Slovnik!C167)</f>
        <v>Scénář s projektem</v>
      </c>
      <c r="D35" s="915" t="str">
        <f>IF('0 Úvod'!$M$10="English",Slovnik!D175,Slovnik!C175)</f>
        <v>Celkem</v>
      </c>
      <c r="E35" s="1940"/>
      <c r="F35" s="1847"/>
      <c r="G35" s="1847"/>
      <c r="H35" s="1847"/>
      <c r="I35" s="1847"/>
      <c r="J35" s="1847"/>
      <c r="K35" s="1847"/>
      <c r="L35" s="1847"/>
      <c r="M35" s="1847"/>
      <c r="N35" s="1847"/>
      <c r="O35" s="1847"/>
      <c r="P35" s="1847"/>
      <c r="Q35" s="1847"/>
      <c r="R35" s="1847"/>
      <c r="S35" s="1853"/>
      <c r="T35" s="229"/>
      <c r="U35" s="229"/>
      <c r="V35" s="229"/>
      <c r="W35" s="229"/>
      <c r="X35" s="229"/>
      <c r="Y35" s="229"/>
      <c r="Z35" s="229"/>
      <c r="AA35" s="229"/>
      <c r="AB35" s="229"/>
      <c r="AC35" s="229"/>
    </row>
    <row r="36" spans="2:29" ht="14.25" x14ac:dyDescent="0.3">
      <c r="B36" s="935"/>
      <c r="C36" s="936" t="str">
        <f>IF('0 Úvod'!$M$10="English",Slovnik!D733,Slovnik!C733)</f>
        <v>Náklady na provoz MĚSTSKÝCH AUTOBUSŮ</v>
      </c>
      <c r="D36" s="937">
        <f t="shared" ref="D36:D41" si="13">SUM(E36:S36,E45:S45)</f>
        <v>0</v>
      </c>
      <c r="E36" s="938">
        <f>E4*'3 Doprava a přeprava'!D6</f>
        <v>0</v>
      </c>
      <c r="F36" s="938">
        <f>F4*'3 Doprava a přeprava'!E6</f>
        <v>0</v>
      </c>
      <c r="G36" s="938">
        <f>G4*'3 Doprava a přeprava'!F6</f>
        <v>0</v>
      </c>
      <c r="H36" s="938">
        <f>H4*'3 Doprava a přeprava'!G6</f>
        <v>0</v>
      </c>
      <c r="I36" s="938">
        <f>I4*'3 Doprava a přeprava'!H6</f>
        <v>0</v>
      </c>
      <c r="J36" s="938">
        <f>J4*'3 Doprava a přeprava'!I6</f>
        <v>0</v>
      </c>
      <c r="K36" s="938">
        <f>K4*'3 Doprava a přeprava'!J6</f>
        <v>0</v>
      </c>
      <c r="L36" s="938">
        <f>L4*'3 Doprava a přeprava'!K6</f>
        <v>0</v>
      </c>
      <c r="M36" s="938">
        <f>M4*'3 Doprava a přeprava'!L6</f>
        <v>0</v>
      </c>
      <c r="N36" s="938">
        <f>N4*'3 Doprava a přeprava'!M6</f>
        <v>0</v>
      </c>
      <c r="O36" s="938">
        <f>O4*'3 Doprava a přeprava'!N6</f>
        <v>0</v>
      </c>
      <c r="P36" s="938">
        <f>P4*'3 Doprava a přeprava'!O6</f>
        <v>0</v>
      </c>
      <c r="Q36" s="938">
        <f>Q4*'3 Doprava a přeprava'!P6</f>
        <v>0</v>
      </c>
      <c r="R36" s="938">
        <f>R4*'3 Doprava a přeprava'!Q6</f>
        <v>0</v>
      </c>
      <c r="S36" s="938">
        <f>S4*'3 Doprava a přeprava'!R6</f>
        <v>0</v>
      </c>
      <c r="T36" s="471"/>
      <c r="U36" s="228"/>
      <c r="V36" s="228"/>
      <c r="W36" s="228"/>
      <c r="X36" s="228"/>
      <c r="Y36" s="228"/>
      <c r="Z36" s="228"/>
      <c r="AA36" s="228"/>
      <c r="AB36" s="228"/>
      <c r="AC36" s="228"/>
    </row>
    <row r="37" spans="2:29" ht="14.25" x14ac:dyDescent="0.3">
      <c r="B37" s="935"/>
      <c r="C37" s="936" t="s">
        <v>1517</v>
      </c>
      <c r="D37" s="937">
        <f t="shared" si="13"/>
        <v>0</v>
      </c>
      <c r="E37" s="938">
        <f>E5*'3 Doprava a přeprava'!D7</f>
        <v>0</v>
      </c>
      <c r="F37" s="938">
        <f>F5*'3 Doprava a přeprava'!E7</f>
        <v>0</v>
      </c>
      <c r="G37" s="938">
        <f>G5*'3 Doprava a přeprava'!F7</f>
        <v>0</v>
      </c>
      <c r="H37" s="938">
        <f>H5*'3 Doprava a přeprava'!G7</f>
        <v>0</v>
      </c>
      <c r="I37" s="938">
        <f>I5*'3 Doprava a přeprava'!H7</f>
        <v>0</v>
      </c>
      <c r="J37" s="938">
        <f>J5*'3 Doprava a přeprava'!I7</f>
        <v>0</v>
      </c>
      <c r="K37" s="938">
        <f>K5*'3 Doprava a přeprava'!J7</f>
        <v>0</v>
      </c>
      <c r="L37" s="938">
        <f>L5*'3 Doprava a přeprava'!K7</f>
        <v>0</v>
      </c>
      <c r="M37" s="938">
        <f>M5*'3 Doprava a přeprava'!L7</f>
        <v>0</v>
      </c>
      <c r="N37" s="938">
        <f>N5*'3 Doprava a přeprava'!M7</f>
        <v>0</v>
      </c>
      <c r="O37" s="938">
        <f>O5*'3 Doprava a přeprava'!N7</f>
        <v>0</v>
      </c>
      <c r="P37" s="938">
        <f>P5*'3 Doprava a přeprava'!O7</f>
        <v>0</v>
      </c>
      <c r="Q37" s="938">
        <f>Q5*'3 Doprava a přeprava'!P7</f>
        <v>0</v>
      </c>
      <c r="R37" s="938">
        <f>R5*'3 Doprava a přeprava'!Q7</f>
        <v>0</v>
      </c>
      <c r="S37" s="938">
        <f>S5*'3 Doprava a přeprava'!R7</f>
        <v>0</v>
      </c>
      <c r="T37" s="471"/>
      <c r="U37" s="228"/>
      <c r="V37" s="228"/>
      <c r="W37" s="228"/>
      <c r="X37" s="228"/>
      <c r="Y37" s="228"/>
      <c r="Z37" s="228"/>
      <c r="AA37" s="228"/>
      <c r="AB37" s="228"/>
      <c r="AC37" s="228"/>
    </row>
    <row r="38" spans="2:29" ht="14.25" x14ac:dyDescent="0.3">
      <c r="B38" s="935"/>
      <c r="C38" s="936" t="s">
        <v>1518</v>
      </c>
      <c r="D38" s="937">
        <f t="shared" si="13"/>
        <v>0</v>
      </c>
      <c r="E38" s="938">
        <f>E6*'3 Doprava a přeprava'!D8</f>
        <v>0</v>
      </c>
      <c r="F38" s="938">
        <f>F6*'3 Doprava a přeprava'!E8</f>
        <v>0</v>
      </c>
      <c r="G38" s="938">
        <f>G6*'3 Doprava a přeprava'!F8</f>
        <v>0</v>
      </c>
      <c r="H38" s="938">
        <f>H6*'3 Doprava a přeprava'!G8</f>
        <v>0</v>
      </c>
      <c r="I38" s="938">
        <f>I6*'3 Doprava a přeprava'!H8</f>
        <v>0</v>
      </c>
      <c r="J38" s="938">
        <f>J6*'3 Doprava a přeprava'!I8</f>
        <v>0</v>
      </c>
      <c r="K38" s="938">
        <f>K6*'3 Doprava a přeprava'!J8</f>
        <v>0</v>
      </c>
      <c r="L38" s="938">
        <f>L6*'3 Doprava a přeprava'!K8</f>
        <v>0</v>
      </c>
      <c r="M38" s="938">
        <f>M6*'3 Doprava a přeprava'!L8</f>
        <v>0</v>
      </c>
      <c r="N38" s="938">
        <f>N6*'3 Doprava a přeprava'!M8</f>
        <v>0</v>
      </c>
      <c r="O38" s="938">
        <f>O6*'3 Doprava a přeprava'!N8</f>
        <v>0</v>
      </c>
      <c r="P38" s="938">
        <f>P6*'3 Doprava a přeprava'!O8</f>
        <v>0</v>
      </c>
      <c r="Q38" s="938">
        <f>Q6*'3 Doprava a přeprava'!P8</f>
        <v>0</v>
      </c>
      <c r="R38" s="938">
        <f>R6*'3 Doprava a přeprava'!Q8</f>
        <v>0</v>
      </c>
      <c r="S38" s="938">
        <f>S6*'3 Doprava a přeprava'!R8</f>
        <v>0</v>
      </c>
      <c r="T38" s="471"/>
      <c r="U38" s="228"/>
      <c r="V38" s="228"/>
      <c r="W38" s="228"/>
      <c r="X38" s="228"/>
      <c r="Y38" s="228"/>
      <c r="Z38" s="228"/>
      <c r="AA38" s="228"/>
      <c r="AB38" s="228"/>
      <c r="AC38" s="228"/>
    </row>
    <row r="39" spans="2:29" ht="14.25" x14ac:dyDescent="0.3">
      <c r="B39" s="935"/>
      <c r="C39" s="936" t="s">
        <v>1383</v>
      </c>
      <c r="D39" s="937">
        <f t="shared" si="13"/>
        <v>0</v>
      </c>
      <c r="E39" s="938">
        <f>E7*'3 Doprava a přeprava'!D9</f>
        <v>0</v>
      </c>
      <c r="F39" s="938">
        <f>F7*'3 Doprava a přeprava'!E9</f>
        <v>0</v>
      </c>
      <c r="G39" s="938">
        <f>G7*'3 Doprava a přeprava'!F9</f>
        <v>0</v>
      </c>
      <c r="H39" s="938">
        <f>H7*'3 Doprava a přeprava'!G9</f>
        <v>0</v>
      </c>
      <c r="I39" s="938">
        <f>I7*'3 Doprava a přeprava'!H9</f>
        <v>0</v>
      </c>
      <c r="J39" s="938">
        <f>J7*'3 Doprava a přeprava'!I9</f>
        <v>0</v>
      </c>
      <c r="K39" s="938">
        <f>K7*'3 Doprava a přeprava'!J9</f>
        <v>0</v>
      </c>
      <c r="L39" s="938">
        <f>L7*'3 Doprava a přeprava'!K9</f>
        <v>0</v>
      </c>
      <c r="M39" s="938">
        <f>M7*'3 Doprava a přeprava'!L9</f>
        <v>0</v>
      </c>
      <c r="N39" s="938">
        <f>N7*'3 Doprava a přeprava'!M9</f>
        <v>0</v>
      </c>
      <c r="O39" s="938">
        <f>O7*'3 Doprava a přeprava'!N9</f>
        <v>0</v>
      </c>
      <c r="P39" s="938">
        <f>P7*'3 Doprava a přeprava'!O9</f>
        <v>0</v>
      </c>
      <c r="Q39" s="938">
        <f>Q7*'3 Doprava a přeprava'!P9</f>
        <v>0</v>
      </c>
      <c r="R39" s="938">
        <f>R7*'3 Doprava a přeprava'!Q9</f>
        <v>0</v>
      </c>
      <c r="S39" s="938">
        <f>S7*'3 Doprava a přeprava'!R9</f>
        <v>0</v>
      </c>
      <c r="T39" s="471"/>
      <c r="U39" s="228"/>
      <c r="V39" s="228"/>
      <c r="W39" s="228"/>
      <c r="X39" s="228"/>
      <c r="Y39" s="228"/>
      <c r="Z39" s="228"/>
      <c r="AA39" s="228"/>
      <c r="AB39" s="228"/>
      <c r="AC39" s="228"/>
    </row>
    <row r="40" spans="2:29" ht="14.25" x14ac:dyDescent="0.3">
      <c r="B40" s="985"/>
      <c r="C40" s="986" t="s">
        <v>1434</v>
      </c>
      <c r="D40" s="937">
        <f t="shared" si="13"/>
        <v>0</v>
      </c>
      <c r="E40" s="235"/>
      <c r="F40" s="235"/>
      <c r="G40" s="235"/>
      <c r="H40" s="235"/>
      <c r="I40" s="235"/>
      <c r="J40" s="235"/>
      <c r="K40" s="235"/>
      <c r="L40" s="235"/>
      <c r="M40" s="235"/>
      <c r="N40" s="235"/>
      <c r="O40" s="235"/>
      <c r="P40" s="235"/>
      <c r="Q40" s="235"/>
      <c r="R40" s="235"/>
      <c r="S40" s="235"/>
      <c r="T40" s="471"/>
      <c r="U40" s="228"/>
      <c r="V40" s="228"/>
      <c r="W40" s="228"/>
      <c r="X40" s="228"/>
      <c r="Y40" s="228"/>
      <c r="Z40" s="228"/>
      <c r="AA40" s="228"/>
      <c r="AB40" s="228"/>
      <c r="AC40" s="228"/>
    </row>
    <row r="41" spans="2:29" ht="15" thickBot="1" x14ac:dyDescent="0.35">
      <c r="B41" s="939"/>
      <c r="C41" s="779" t="str">
        <f>IF('0 Úvod'!$M$10="English",Slovnik!D174,Slovnik!C174)</f>
        <v>Celkové provozní náklady vozidel</v>
      </c>
      <c r="D41" s="940">
        <f t="shared" si="13"/>
        <v>0</v>
      </c>
      <c r="E41" s="781">
        <f t="shared" ref="E41:S41" si="14">SUM(E36:E40)</f>
        <v>0</v>
      </c>
      <c r="F41" s="781">
        <f t="shared" si="14"/>
        <v>0</v>
      </c>
      <c r="G41" s="781">
        <f t="shared" si="14"/>
        <v>0</v>
      </c>
      <c r="H41" s="781">
        <f t="shared" si="14"/>
        <v>0</v>
      </c>
      <c r="I41" s="781">
        <f t="shared" si="14"/>
        <v>0</v>
      </c>
      <c r="J41" s="781">
        <f t="shared" si="14"/>
        <v>0</v>
      </c>
      <c r="K41" s="781">
        <f t="shared" si="14"/>
        <v>0</v>
      </c>
      <c r="L41" s="781">
        <f t="shared" si="14"/>
        <v>0</v>
      </c>
      <c r="M41" s="781">
        <f t="shared" si="14"/>
        <v>0</v>
      </c>
      <c r="N41" s="781">
        <f t="shared" si="14"/>
        <v>0</v>
      </c>
      <c r="O41" s="781">
        <f t="shared" si="14"/>
        <v>0</v>
      </c>
      <c r="P41" s="781">
        <f t="shared" si="14"/>
        <v>0</v>
      </c>
      <c r="Q41" s="781">
        <f t="shared" si="14"/>
        <v>0</v>
      </c>
      <c r="R41" s="781">
        <f t="shared" si="14"/>
        <v>0</v>
      </c>
      <c r="S41" s="782">
        <f t="shared" si="14"/>
        <v>0</v>
      </c>
      <c r="T41" s="230"/>
      <c r="U41" s="230"/>
      <c r="V41" s="230"/>
      <c r="W41" s="230"/>
      <c r="X41" s="230"/>
      <c r="Y41" s="230"/>
      <c r="Z41" s="230"/>
      <c r="AA41" s="230"/>
      <c r="AB41" s="230"/>
      <c r="AC41" s="230"/>
    </row>
    <row r="42" spans="2:29" ht="14.25" thickBot="1" x14ac:dyDescent="0.35">
      <c r="B42" s="941"/>
      <c r="C42" s="769"/>
      <c r="D42" s="770"/>
      <c r="E42" s="770"/>
      <c r="F42" s="770"/>
      <c r="G42" s="770"/>
      <c r="H42" s="770"/>
      <c r="I42" s="770"/>
      <c r="J42" s="770"/>
      <c r="K42" s="770"/>
      <c r="L42" s="770"/>
      <c r="M42" s="770"/>
      <c r="N42" s="770"/>
      <c r="O42" s="770"/>
      <c r="P42" s="770"/>
      <c r="Q42" s="770"/>
      <c r="R42" s="770"/>
      <c r="S42" s="770"/>
      <c r="T42" s="228"/>
      <c r="U42" s="228"/>
      <c r="V42" s="228"/>
      <c r="W42" s="228"/>
      <c r="X42" s="228"/>
      <c r="Y42" s="228"/>
      <c r="Z42" s="228"/>
      <c r="AA42" s="228"/>
      <c r="AB42" s="228"/>
      <c r="AC42" s="228"/>
    </row>
    <row r="43" spans="2:29" ht="14.25" x14ac:dyDescent="0.3">
      <c r="B43" s="773" t="s">
        <v>20</v>
      </c>
      <c r="C43" s="784" t="str">
        <f t="shared" ref="C43:C50" si="15">C34</f>
        <v>Celkové provozní náklady vozidel MHD</v>
      </c>
      <c r="D43" s="914"/>
      <c r="E43" s="1854">
        <f>S34+1</f>
        <v>2041</v>
      </c>
      <c r="F43" s="1846">
        <f t="shared" ref="F43:S43" si="16">E43+1</f>
        <v>2042</v>
      </c>
      <c r="G43" s="1846">
        <f t="shared" si="16"/>
        <v>2043</v>
      </c>
      <c r="H43" s="1846">
        <f t="shared" si="16"/>
        <v>2044</v>
      </c>
      <c r="I43" s="1846">
        <f t="shared" si="16"/>
        <v>2045</v>
      </c>
      <c r="J43" s="1846">
        <f t="shared" si="16"/>
        <v>2046</v>
      </c>
      <c r="K43" s="1846">
        <f t="shared" si="16"/>
        <v>2047</v>
      </c>
      <c r="L43" s="1846">
        <f t="shared" si="16"/>
        <v>2048</v>
      </c>
      <c r="M43" s="1846">
        <f t="shared" si="16"/>
        <v>2049</v>
      </c>
      <c r="N43" s="1846">
        <f t="shared" si="16"/>
        <v>2050</v>
      </c>
      <c r="O43" s="1846">
        <f t="shared" si="16"/>
        <v>2051</v>
      </c>
      <c r="P43" s="1846">
        <f t="shared" si="16"/>
        <v>2052</v>
      </c>
      <c r="Q43" s="1846">
        <f t="shared" si="16"/>
        <v>2053</v>
      </c>
      <c r="R43" s="1846">
        <f t="shared" si="16"/>
        <v>2054</v>
      </c>
      <c r="S43" s="1852">
        <f t="shared" si="16"/>
        <v>2055</v>
      </c>
      <c r="T43" s="229"/>
      <c r="U43" s="229"/>
      <c r="V43" s="229"/>
      <c r="W43" s="229"/>
      <c r="X43" s="229"/>
      <c r="Y43" s="229"/>
      <c r="Z43" s="229"/>
      <c r="AA43" s="229"/>
      <c r="AB43" s="229"/>
      <c r="AC43" s="229"/>
    </row>
    <row r="44" spans="2:29" ht="15" thickBot="1" x14ac:dyDescent="0.35">
      <c r="B44" s="775" t="s">
        <v>5</v>
      </c>
      <c r="C44" s="785" t="str">
        <f t="shared" si="15"/>
        <v>Scénář s projektem</v>
      </c>
      <c r="D44" s="942"/>
      <c r="E44" s="1940"/>
      <c r="F44" s="1847"/>
      <c r="G44" s="1847"/>
      <c r="H44" s="1847"/>
      <c r="I44" s="1847"/>
      <c r="J44" s="1847"/>
      <c r="K44" s="1847"/>
      <c r="L44" s="1847"/>
      <c r="M44" s="1847"/>
      <c r="N44" s="1847"/>
      <c r="O44" s="1847"/>
      <c r="P44" s="1847"/>
      <c r="Q44" s="1847"/>
      <c r="R44" s="1847"/>
      <c r="S44" s="1853"/>
      <c r="T44" s="229"/>
      <c r="U44" s="229"/>
      <c r="V44" s="229"/>
      <c r="W44" s="229"/>
      <c r="X44" s="229"/>
      <c r="Y44" s="229"/>
      <c r="Z44" s="229"/>
      <c r="AA44" s="229"/>
      <c r="AB44" s="229"/>
      <c r="AC44" s="229"/>
    </row>
    <row r="45" spans="2:29" ht="14.25" x14ac:dyDescent="0.3">
      <c r="B45" s="935"/>
      <c r="C45" s="936" t="str">
        <f t="shared" si="15"/>
        <v>Náklady na provoz MĚSTSKÝCH AUTOBUSŮ</v>
      </c>
      <c r="D45" s="943"/>
      <c r="E45" s="938">
        <f>E12*'3 Doprava a přeprava'!D15</f>
        <v>0</v>
      </c>
      <c r="F45" s="938">
        <f>F12*'3 Doprava a přeprava'!E15</f>
        <v>0</v>
      </c>
      <c r="G45" s="938">
        <f>G12*'3 Doprava a přeprava'!F15</f>
        <v>0</v>
      </c>
      <c r="H45" s="938">
        <f>H12*'3 Doprava a přeprava'!G15</f>
        <v>0</v>
      </c>
      <c r="I45" s="938">
        <f>I12*'3 Doprava a přeprava'!H15</f>
        <v>0</v>
      </c>
      <c r="J45" s="938">
        <f>J12*'3 Doprava a přeprava'!I15</f>
        <v>0</v>
      </c>
      <c r="K45" s="938">
        <f>K12*'3 Doprava a přeprava'!J15</f>
        <v>0</v>
      </c>
      <c r="L45" s="938">
        <f>L12*'3 Doprava a přeprava'!K15</f>
        <v>0</v>
      </c>
      <c r="M45" s="938">
        <f>M12*'3 Doprava a přeprava'!L15</f>
        <v>0</v>
      </c>
      <c r="N45" s="938">
        <f>N12*'3 Doprava a přeprava'!M15</f>
        <v>0</v>
      </c>
      <c r="O45" s="938">
        <f>O12*'3 Doprava a přeprava'!N15</f>
        <v>0</v>
      </c>
      <c r="P45" s="938">
        <f>P12*'3 Doprava a přeprava'!O15</f>
        <v>0</v>
      </c>
      <c r="Q45" s="938">
        <f>Q12*'3 Doprava a přeprava'!P15</f>
        <v>0</v>
      </c>
      <c r="R45" s="938">
        <f>R12*'3 Doprava a přeprava'!Q15</f>
        <v>0</v>
      </c>
      <c r="S45" s="938">
        <f>S12*'3 Doprava a přeprava'!R15</f>
        <v>0</v>
      </c>
      <c r="T45" s="471"/>
      <c r="U45" s="228"/>
      <c r="V45" s="228"/>
      <c r="W45" s="228"/>
      <c r="X45" s="228"/>
      <c r="Y45" s="228"/>
      <c r="Z45" s="228"/>
      <c r="AA45" s="228"/>
      <c r="AB45" s="228"/>
      <c r="AC45" s="228"/>
    </row>
    <row r="46" spans="2:29" ht="14.25" x14ac:dyDescent="0.3">
      <c r="B46" s="935"/>
      <c r="C46" s="936" t="str">
        <f t="shared" si="15"/>
        <v>Náklady na provoz TROLEJBUS</v>
      </c>
      <c r="D46" s="943"/>
      <c r="E46" s="938">
        <f>E13*'3 Doprava a přeprava'!D16</f>
        <v>0</v>
      </c>
      <c r="F46" s="938">
        <f>F13*'3 Doprava a přeprava'!E16</f>
        <v>0</v>
      </c>
      <c r="G46" s="938">
        <f>G13*'3 Doprava a přeprava'!F16</f>
        <v>0</v>
      </c>
      <c r="H46" s="938">
        <f>H13*'3 Doprava a přeprava'!G16</f>
        <v>0</v>
      </c>
      <c r="I46" s="938">
        <f>I13*'3 Doprava a přeprava'!H16</f>
        <v>0</v>
      </c>
      <c r="J46" s="938">
        <f>J13*'3 Doprava a přeprava'!I16</f>
        <v>0</v>
      </c>
      <c r="K46" s="938">
        <f>K13*'3 Doprava a přeprava'!J16</f>
        <v>0</v>
      </c>
      <c r="L46" s="938">
        <f>L13*'3 Doprava a přeprava'!K16</f>
        <v>0</v>
      </c>
      <c r="M46" s="938">
        <f>M13*'3 Doprava a přeprava'!L16</f>
        <v>0</v>
      </c>
      <c r="N46" s="938">
        <f>N13*'3 Doprava a přeprava'!M16</f>
        <v>0</v>
      </c>
      <c r="O46" s="938">
        <f>O13*'3 Doprava a přeprava'!N16</f>
        <v>0</v>
      </c>
      <c r="P46" s="938">
        <f>P13*'3 Doprava a přeprava'!O16</f>
        <v>0</v>
      </c>
      <c r="Q46" s="938">
        <f>Q13*'3 Doprava a přeprava'!P16</f>
        <v>0</v>
      </c>
      <c r="R46" s="938">
        <f>R13*'3 Doprava a přeprava'!Q16</f>
        <v>0</v>
      </c>
      <c r="S46" s="938">
        <f>S13*'3 Doprava a přeprava'!R16</f>
        <v>0</v>
      </c>
      <c r="T46" s="471"/>
      <c r="U46" s="228"/>
      <c r="V46" s="228"/>
      <c r="W46" s="228"/>
      <c r="X46" s="228"/>
      <c r="Y46" s="228"/>
      <c r="Z46" s="228"/>
      <c r="AA46" s="228"/>
      <c r="AB46" s="228"/>
      <c r="AC46" s="228"/>
    </row>
    <row r="47" spans="2:29" ht="14.25" x14ac:dyDescent="0.3">
      <c r="B47" s="935"/>
      <c r="C47" s="936" t="str">
        <f t="shared" si="15"/>
        <v>Náklady na provoz TRAMVAJ</v>
      </c>
      <c r="D47" s="943"/>
      <c r="E47" s="938">
        <f>E14*'3 Doprava a přeprava'!D17</f>
        <v>0</v>
      </c>
      <c r="F47" s="938">
        <f>F14*'3 Doprava a přeprava'!E17</f>
        <v>0</v>
      </c>
      <c r="G47" s="938">
        <f>G14*'3 Doprava a přeprava'!F17</f>
        <v>0</v>
      </c>
      <c r="H47" s="938">
        <f>H14*'3 Doprava a přeprava'!G17</f>
        <v>0</v>
      </c>
      <c r="I47" s="938">
        <f>I14*'3 Doprava a přeprava'!H17</f>
        <v>0</v>
      </c>
      <c r="J47" s="938">
        <f>J14*'3 Doprava a přeprava'!I17</f>
        <v>0</v>
      </c>
      <c r="K47" s="938">
        <f>K14*'3 Doprava a přeprava'!J17</f>
        <v>0</v>
      </c>
      <c r="L47" s="938">
        <f>L14*'3 Doprava a přeprava'!K17</f>
        <v>0</v>
      </c>
      <c r="M47" s="938">
        <f>M14*'3 Doprava a přeprava'!L17</f>
        <v>0</v>
      </c>
      <c r="N47" s="938">
        <f>N14*'3 Doprava a přeprava'!M17</f>
        <v>0</v>
      </c>
      <c r="O47" s="938">
        <f>O14*'3 Doprava a přeprava'!N17</f>
        <v>0</v>
      </c>
      <c r="P47" s="938">
        <f>P14*'3 Doprava a přeprava'!O17</f>
        <v>0</v>
      </c>
      <c r="Q47" s="938">
        <f>Q14*'3 Doprava a přeprava'!P17</f>
        <v>0</v>
      </c>
      <c r="R47" s="938">
        <f>R14*'3 Doprava a přeprava'!Q17</f>
        <v>0</v>
      </c>
      <c r="S47" s="938">
        <f>S14*'3 Doprava a přeprava'!R17</f>
        <v>0</v>
      </c>
      <c r="T47" s="471"/>
      <c r="U47" s="228"/>
      <c r="V47" s="228"/>
      <c r="W47" s="228"/>
      <c r="X47" s="228"/>
      <c r="Y47" s="228"/>
      <c r="Z47" s="228"/>
      <c r="AA47" s="228"/>
      <c r="AB47" s="228"/>
      <c r="AC47" s="228"/>
    </row>
    <row r="48" spans="2:29" ht="14.25" x14ac:dyDescent="0.3">
      <c r="B48" s="935"/>
      <c r="C48" s="936" t="str">
        <f t="shared" si="15"/>
        <v xml:space="preserve">Náklady na provoz METRA </v>
      </c>
      <c r="D48" s="943"/>
      <c r="E48" s="938">
        <f>E15*'3 Doprava a přeprava'!D18</f>
        <v>0</v>
      </c>
      <c r="F48" s="938">
        <f>F15*'3 Doprava a přeprava'!E18</f>
        <v>0</v>
      </c>
      <c r="G48" s="938">
        <f>G15*'3 Doprava a přeprava'!F18</f>
        <v>0</v>
      </c>
      <c r="H48" s="938">
        <f>H15*'3 Doprava a přeprava'!G18</f>
        <v>0</v>
      </c>
      <c r="I48" s="938">
        <f>I15*'3 Doprava a přeprava'!H18</f>
        <v>0</v>
      </c>
      <c r="J48" s="938">
        <f>J15*'3 Doprava a přeprava'!I18</f>
        <v>0</v>
      </c>
      <c r="K48" s="938">
        <f>K15*'3 Doprava a přeprava'!J18</f>
        <v>0</v>
      </c>
      <c r="L48" s="938">
        <f>L15*'3 Doprava a přeprava'!K18</f>
        <v>0</v>
      </c>
      <c r="M48" s="938">
        <f>M15*'3 Doprava a přeprava'!L18</f>
        <v>0</v>
      </c>
      <c r="N48" s="938">
        <f>N15*'3 Doprava a přeprava'!M18</f>
        <v>0</v>
      </c>
      <c r="O48" s="938">
        <f>O15*'3 Doprava a přeprava'!N18</f>
        <v>0</v>
      </c>
      <c r="P48" s="938">
        <f>P15*'3 Doprava a přeprava'!O18</f>
        <v>0</v>
      </c>
      <c r="Q48" s="938">
        <f>Q15*'3 Doprava a přeprava'!P18</f>
        <v>0</v>
      </c>
      <c r="R48" s="938">
        <f>R15*'3 Doprava a přeprava'!Q18</f>
        <v>0</v>
      </c>
      <c r="S48" s="938">
        <f>S15*'3 Doprava a přeprava'!R18</f>
        <v>0</v>
      </c>
      <c r="T48" s="471"/>
      <c r="U48" s="228"/>
      <c r="V48" s="228"/>
      <c r="W48" s="228"/>
      <c r="X48" s="228"/>
      <c r="Y48" s="228"/>
      <c r="Z48" s="228"/>
      <c r="AA48" s="228"/>
      <c r="AB48" s="228"/>
      <c r="AC48" s="228"/>
    </row>
    <row r="49" spans="1:29" ht="14.25" x14ac:dyDescent="0.3">
      <c r="B49" s="935"/>
      <c r="C49" s="936" t="str">
        <f t="shared" si="15"/>
        <v>ostatní, specifikujte</v>
      </c>
      <c r="D49" s="943"/>
      <c r="E49" s="235"/>
      <c r="F49" s="235"/>
      <c r="G49" s="235"/>
      <c r="H49" s="235"/>
      <c r="I49" s="235"/>
      <c r="J49" s="235"/>
      <c r="K49" s="235"/>
      <c r="L49" s="235"/>
      <c r="M49" s="235"/>
      <c r="N49" s="235"/>
      <c r="O49" s="235"/>
      <c r="P49" s="235"/>
      <c r="Q49" s="235"/>
      <c r="R49" s="235"/>
      <c r="S49" s="235"/>
      <c r="T49" s="471"/>
      <c r="U49" s="228"/>
      <c r="V49" s="228"/>
      <c r="W49" s="228"/>
      <c r="X49" s="228"/>
      <c r="Y49" s="228"/>
      <c r="Z49" s="228"/>
      <c r="AA49" s="228"/>
      <c r="AB49" s="228"/>
      <c r="AC49" s="228"/>
    </row>
    <row r="50" spans="1:29" ht="15" thickBot="1" x14ac:dyDescent="0.35">
      <c r="A50" s="231"/>
      <c r="B50" s="939"/>
      <c r="C50" s="779" t="str">
        <f t="shared" si="15"/>
        <v>Celkové provozní náklady vozidel</v>
      </c>
      <c r="D50" s="782"/>
      <c r="E50" s="781">
        <f t="shared" ref="E50:S50" si="17">SUM(E45:E49)</f>
        <v>0</v>
      </c>
      <c r="F50" s="781">
        <f t="shared" si="17"/>
        <v>0</v>
      </c>
      <c r="G50" s="781">
        <f t="shared" si="17"/>
        <v>0</v>
      </c>
      <c r="H50" s="781">
        <f t="shared" si="17"/>
        <v>0</v>
      </c>
      <c r="I50" s="781">
        <f t="shared" si="17"/>
        <v>0</v>
      </c>
      <c r="J50" s="781">
        <f t="shared" si="17"/>
        <v>0</v>
      </c>
      <c r="K50" s="781">
        <f t="shared" si="17"/>
        <v>0</v>
      </c>
      <c r="L50" s="781">
        <f t="shared" si="17"/>
        <v>0</v>
      </c>
      <c r="M50" s="781">
        <f t="shared" si="17"/>
        <v>0</v>
      </c>
      <c r="N50" s="781">
        <f t="shared" si="17"/>
        <v>0</v>
      </c>
      <c r="O50" s="781">
        <f t="shared" si="17"/>
        <v>0</v>
      </c>
      <c r="P50" s="781">
        <f t="shared" si="17"/>
        <v>0</v>
      </c>
      <c r="Q50" s="781">
        <f t="shared" si="17"/>
        <v>0</v>
      </c>
      <c r="R50" s="781">
        <f t="shared" si="17"/>
        <v>0</v>
      </c>
      <c r="S50" s="782">
        <f t="shared" si="17"/>
        <v>0</v>
      </c>
      <c r="T50" s="230"/>
      <c r="U50" s="230"/>
      <c r="V50" s="230"/>
      <c r="W50" s="230"/>
      <c r="X50" s="230"/>
      <c r="Y50" s="230"/>
      <c r="Z50" s="230"/>
      <c r="AA50" s="230"/>
      <c r="AB50" s="230"/>
      <c r="AC50" s="230"/>
    </row>
    <row r="51" spans="1:29" ht="14.25" thickBot="1" x14ac:dyDescent="0.35">
      <c r="A51" s="231"/>
      <c r="B51" s="944"/>
      <c r="C51" s="788"/>
      <c r="D51" s="770"/>
      <c r="E51" s="789"/>
      <c r="F51" s="789"/>
      <c r="G51" s="789"/>
      <c r="H51" s="789"/>
      <c r="I51" s="789"/>
      <c r="J51" s="789"/>
      <c r="K51" s="789"/>
      <c r="L51" s="789"/>
      <c r="M51" s="789"/>
      <c r="N51" s="789"/>
      <c r="O51" s="789"/>
      <c r="P51" s="789"/>
      <c r="Q51" s="789"/>
      <c r="R51" s="789"/>
      <c r="S51" s="789"/>
      <c r="T51" s="230"/>
      <c r="U51" s="230"/>
      <c r="V51" s="230"/>
      <c r="W51" s="230"/>
      <c r="X51" s="230"/>
      <c r="Y51" s="230"/>
      <c r="Z51" s="230"/>
      <c r="AA51" s="230"/>
      <c r="AB51" s="230"/>
      <c r="AC51" s="230"/>
    </row>
    <row r="52" spans="1:29" ht="14.25" x14ac:dyDescent="0.3">
      <c r="B52" s="790" t="s">
        <v>21</v>
      </c>
      <c r="C52" s="803" t="str">
        <f>C43</f>
        <v>Celkové provozní náklady vozidel MHD</v>
      </c>
      <c r="D52" s="926"/>
      <c r="E52" s="1880">
        <f>E34</f>
        <v>2026</v>
      </c>
      <c r="F52" s="1848">
        <f t="shared" ref="F52:S52" si="18">E52+1</f>
        <v>2027</v>
      </c>
      <c r="G52" s="1848">
        <f t="shared" si="18"/>
        <v>2028</v>
      </c>
      <c r="H52" s="1848">
        <f t="shared" si="18"/>
        <v>2029</v>
      </c>
      <c r="I52" s="1848">
        <f t="shared" si="18"/>
        <v>2030</v>
      </c>
      <c r="J52" s="1848">
        <f t="shared" si="18"/>
        <v>2031</v>
      </c>
      <c r="K52" s="1848">
        <f t="shared" si="18"/>
        <v>2032</v>
      </c>
      <c r="L52" s="1848">
        <f t="shared" si="18"/>
        <v>2033</v>
      </c>
      <c r="M52" s="1848">
        <f t="shared" si="18"/>
        <v>2034</v>
      </c>
      <c r="N52" s="1848">
        <f t="shared" si="18"/>
        <v>2035</v>
      </c>
      <c r="O52" s="1848">
        <f t="shared" si="18"/>
        <v>2036</v>
      </c>
      <c r="P52" s="1848">
        <f t="shared" si="18"/>
        <v>2037</v>
      </c>
      <c r="Q52" s="1848">
        <f t="shared" si="18"/>
        <v>2038</v>
      </c>
      <c r="R52" s="1848">
        <f t="shared" si="18"/>
        <v>2039</v>
      </c>
      <c r="S52" s="1856">
        <f t="shared" si="18"/>
        <v>2040</v>
      </c>
      <c r="T52" s="229"/>
      <c r="U52" s="229"/>
      <c r="V52" s="229"/>
      <c r="W52" s="229"/>
      <c r="X52" s="229"/>
      <c r="Y52" s="229"/>
      <c r="Z52" s="229"/>
      <c r="AA52" s="229"/>
      <c r="AB52" s="229"/>
      <c r="AC52" s="229"/>
    </row>
    <row r="53" spans="1:29" ht="15" thickBot="1" x14ac:dyDescent="0.35">
      <c r="B53" s="792" t="s">
        <v>4</v>
      </c>
      <c r="C53" s="804" t="str">
        <f>IF('0 Úvod'!$M$10="English",Slovnik!$D$176,Slovnik!$C$176)</f>
        <v>Scénář bez projektu</v>
      </c>
      <c r="D53" s="927" t="str">
        <f>D35</f>
        <v>Celkem</v>
      </c>
      <c r="E53" s="1881"/>
      <c r="F53" s="1849"/>
      <c r="G53" s="1849"/>
      <c r="H53" s="1849"/>
      <c r="I53" s="1849"/>
      <c r="J53" s="1849"/>
      <c r="K53" s="1849"/>
      <c r="L53" s="1849"/>
      <c r="M53" s="1849"/>
      <c r="N53" s="1849"/>
      <c r="O53" s="1849"/>
      <c r="P53" s="1849"/>
      <c r="Q53" s="1849"/>
      <c r="R53" s="1849"/>
      <c r="S53" s="1857"/>
      <c r="T53" s="229"/>
      <c r="U53" s="229"/>
      <c r="V53" s="229"/>
      <c r="W53" s="229"/>
      <c r="X53" s="229"/>
      <c r="Y53" s="229"/>
      <c r="Z53" s="229"/>
      <c r="AA53" s="229"/>
      <c r="AB53" s="229"/>
      <c r="AC53" s="229"/>
    </row>
    <row r="54" spans="1:29" ht="12" customHeight="1" x14ac:dyDescent="0.3">
      <c r="B54" s="945"/>
      <c r="C54" s="946" t="str">
        <f>C36</f>
        <v>Náklady na provoz MĚSTSKÝCH AUTOBUSŮ</v>
      </c>
      <c r="D54" s="947">
        <f t="shared" ref="D54:D59" si="19">SUM(E54:S54,E63:S63)</f>
        <v>0</v>
      </c>
      <c r="E54" s="938">
        <f>E20*'3 Doprava a přeprava'!D24</f>
        <v>0</v>
      </c>
      <c r="F54" s="938">
        <f>F20*'3 Doprava a přeprava'!E24</f>
        <v>0</v>
      </c>
      <c r="G54" s="938">
        <f>G20*'3 Doprava a přeprava'!F24</f>
        <v>0</v>
      </c>
      <c r="H54" s="938">
        <f>H20*'3 Doprava a přeprava'!G24</f>
        <v>0</v>
      </c>
      <c r="I54" s="938">
        <f>I20*'3 Doprava a přeprava'!H24</f>
        <v>0</v>
      </c>
      <c r="J54" s="938">
        <f>J20*'3 Doprava a přeprava'!I24</f>
        <v>0</v>
      </c>
      <c r="K54" s="938">
        <f>K20*'3 Doprava a přeprava'!J24</f>
        <v>0</v>
      </c>
      <c r="L54" s="938">
        <f>L20*'3 Doprava a přeprava'!K24</f>
        <v>0</v>
      </c>
      <c r="M54" s="938">
        <f>M20*'3 Doprava a přeprava'!L24</f>
        <v>0</v>
      </c>
      <c r="N54" s="938">
        <f>N20*'3 Doprava a přeprava'!M24</f>
        <v>0</v>
      </c>
      <c r="O54" s="938">
        <f>O20*'3 Doprava a přeprava'!N24</f>
        <v>0</v>
      </c>
      <c r="P54" s="938">
        <f>P20*'3 Doprava a přeprava'!O24</f>
        <v>0</v>
      </c>
      <c r="Q54" s="938">
        <f>Q20*'3 Doprava a přeprava'!P24</f>
        <v>0</v>
      </c>
      <c r="R54" s="938">
        <f>R20*'3 Doprava a přeprava'!Q24</f>
        <v>0</v>
      </c>
      <c r="S54" s="938">
        <f>S20*'3 Doprava a přeprava'!R24</f>
        <v>0</v>
      </c>
      <c r="T54" s="471"/>
      <c r="U54" s="228"/>
      <c r="V54" s="228"/>
      <c r="W54" s="228"/>
      <c r="X54" s="228"/>
      <c r="Y54" s="228"/>
      <c r="Z54" s="228"/>
      <c r="AA54" s="228"/>
      <c r="AB54" s="228"/>
      <c r="AC54" s="228"/>
    </row>
    <row r="55" spans="1:29" ht="12" customHeight="1" x14ac:dyDescent="0.3">
      <c r="B55" s="948"/>
      <c r="C55" s="936" t="str">
        <f>C37</f>
        <v>Náklady na provoz TROLEJBUS</v>
      </c>
      <c r="D55" s="937">
        <f t="shared" si="19"/>
        <v>0</v>
      </c>
      <c r="E55" s="938">
        <f>E21*'3 Doprava a přeprava'!D25</f>
        <v>0</v>
      </c>
      <c r="F55" s="938">
        <f>F21*'3 Doprava a přeprava'!E25</f>
        <v>0</v>
      </c>
      <c r="G55" s="938">
        <f>G21*'3 Doprava a přeprava'!F25</f>
        <v>0</v>
      </c>
      <c r="H55" s="938">
        <f>H21*'3 Doprava a přeprava'!G25</f>
        <v>0</v>
      </c>
      <c r="I55" s="938">
        <f>I21*'3 Doprava a přeprava'!H25</f>
        <v>0</v>
      </c>
      <c r="J55" s="938">
        <f>J21*'3 Doprava a přeprava'!I25</f>
        <v>0</v>
      </c>
      <c r="K55" s="938">
        <f>K21*'3 Doprava a přeprava'!J25</f>
        <v>0</v>
      </c>
      <c r="L55" s="938">
        <f>L21*'3 Doprava a přeprava'!K25</f>
        <v>0</v>
      </c>
      <c r="M55" s="938">
        <f>M21*'3 Doprava a přeprava'!L25</f>
        <v>0</v>
      </c>
      <c r="N55" s="938">
        <f>N21*'3 Doprava a přeprava'!M25</f>
        <v>0</v>
      </c>
      <c r="O55" s="938">
        <f>O21*'3 Doprava a přeprava'!N25</f>
        <v>0</v>
      </c>
      <c r="P55" s="938">
        <f>P21*'3 Doprava a přeprava'!O25</f>
        <v>0</v>
      </c>
      <c r="Q55" s="938">
        <f>Q21*'3 Doprava a přeprava'!P25</f>
        <v>0</v>
      </c>
      <c r="R55" s="938">
        <f>R21*'3 Doprava a přeprava'!Q25</f>
        <v>0</v>
      </c>
      <c r="S55" s="938">
        <f>S21*'3 Doprava a přeprava'!R25</f>
        <v>0</v>
      </c>
      <c r="T55" s="471"/>
      <c r="U55" s="228"/>
      <c r="V55" s="228"/>
      <c r="W55" s="228"/>
      <c r="X55" s="228"/>
      <c r="Y55" s="228"/>
      <c r="Z55" s="228"/>
      <c r="AA55" s="228"/>
      <c r="AB55" s="228"/>
      <c r="AC55" s="228"/>
    </row>
    <row r="56" spans="1:29" ht="12" customHeight="1" x14ac:dyDescent="0.3">
      <c r="B56" s="948"/>
      <c r="C56" s="936" t="str">
        <f>C38</f>
        <v>Náklady na provoz TRAMVAJ</v>
      </c>
      <c r="D56" s="937">
        <f t="shared" si="19"/>
        <v>0</v>
      </c>
      <c r="E56" s="938">
        <f>E22*'3 Doprava a přeprava'!D26</f>
        <v>0</v>
      </c>
      <c r="F56" s="938">
        <f>F22*'3 Doprava a přeprava'!E26</f>
        <v>0</v>
      </c>
      <c r="G56" s="938">
        <f>G22*'3 Doprava a přeprava'!F26</f>
        <v>0</v>
      </c>
      <c r="H56" s="938">
        <f>H22*'3 Doprava a přeprava'!G26</f>
        <v>0</v>
      </c>
      <c r="I56" s="938">
        <f>I22*'3 Doprava a přeprava'!H26</f>
        <v>0</v>
      </c>
      <c r="J56" s="938">
        <f>J22*'3 Doprava a přeprava'!I26</f>
        <v>0</v>
      </c>
      <c r="K56" s="938">
        <f>K22*'3 Doprava a přeprava'!J26</f>
        <v>0</v>
      </c>
      <c r="L56" s="938">
        <f>L22*'3 Doprava a přeprava'!K26</f>
        <v>0</v>
      </c>
      <c r="M56" s="938">
        <f>M22*'3 Doprava a přeprava'!L26</f>
        <v>0</v>
      </c>
      <c r="N56" s="938">
        <f>N22*'3 Doprava a přeprava'!M26</f>
        <v>0</v>
      </c>
      <c r="O56" s="938">
        <f>O22*'3 Doprava a přeprava'!N26</f>
        <v>0</v>
      </c>
      <c r="P56" s="938">
        <f>P22*'3 Doprava a přeprava'!O26</f>
        <v>0</v>
      </c>
      <c r="Q56" s="938">
        <f>Q22*'3 Doprava a přeprava'!P26</f>
        <v>0</v>
      </c>
      <c r="R56" s="938">
        <f>R22*'3 Doprava a přeprava'!Q26</f>
        <v>0</v>
      </c>
      <c r="S56" s="938">
        <f>S22*'3 Doprava a přeprava'!R26</f>
        <v>0</v>
      </c>
      <c r="T56" s="471"/>
      <c r="U56" s="228"/>
      <c r="V56" s="228"/>
      <c r="W56" s="228"/>
      <c r="X56" s="228"/>
      <c r="Y56" s="228"/>
      <c r="Z56" s="228"/>
      <c r="AA56" s="228"/>
      <c r="AB56" s="228"/>
      <c r="AC56" s="228"/>
    </row>
    <row r="57" spans="1:29" ht="12" customHeight="1" x14ac:dyDescent="0.3">
      <c r="B57" s="948"/>
      <c r="C57" s="936" t="str">
        <f t="shared" ref="C57:C58" si="20">C39</f>
        <v xml:space="preserve">Náklady na provoz METRA </v>
      </c>
      <c r="D57" s="937">
        <f t="shared" si="19"/>
        <v>0</v>
      </c>
      <c r="E57" s="938">
        <f>E23*'3 Doprava a přeprava'!D27</f>
        <v>0</v>
      </c>
      <c r="F57" s="938">
        <f>F23*'3 Doprava a přeprava'!E27</f>
        <v>0</v>
      </c>
      <c r="G57" s="938">
        <f>G23*'3 Doprava a přeprava'!F27</f>
        <v>0</v>
      </c>
      <c r="H57" s="938">
        <f>H23*'3 Doprava a přeprava'!G27</f>
        <v>0</v>
      </c>
      <c r="I57" s="938">
        <f>I23*'3 Doprava a přeprava'!H27</f>
        <v>0</v>
      </c>
      <c r="J57" s="938">
        <f>J23*'3 Doprava a přeprava'!I27</f>
        <v>0</v>
      </c>
      <c r="K57" s="938">
        <f>K23*'3 Doprava a přeprava'!J27</f>
        <v>0</v>
      </c>
      <c r="L57" s="938">
        <f>L23*'3 Doprava a přeprava'!K27</f>
        <v>0</v>
      </c>
      <c r="M57" s="938">
        <f>M23*'3 Doprava a přeprava'!L27</f>
        <v>0</v>
      </c>
      <c r="N57" s="938">
        <f>N23*'3 Doprava a přeprava'!M27</f>
        <v>0</v>
      </c>
      <c r="O57" s="938">
        <f>O23*'3 Doprava a přeprava'!N27</f>
        <v>0</v>
      </c>
      <c r="P57" s="938">
        <f>P23*'3 Doprava a přeprava'!O27</f>
        <v>0</v>
      </c>
      <c r="Q57" s="938">
        <f>Q23*'3 Doprava a přeprava'!P27</f>
        <v>0</v>
      </c>
      <c r="R57" s="938">
        <f>R23*'3 Doprava a přeprava'!Q27</f>
        <v>0</v>
      </c>
      <c r="S57" s="938">
        <f>S23*'3 Doprava a přeprava'!R27</f>
        <v>0</v>
      </c>
      <c r="T57" s="471"/>
      <c r="U57" s="228"/>
      <c r="V57" s="228"/>
      <c r="W57" s="228"/>
      <c r="X57" s="228"/>
      <c r="Y57" s="228"/>
      <c r="Z57" s="228"/>
      <c r="AA57" s="228"/>
      <c r="AB57" s="228"/>
      <c r="AC57" s="228"/>
    </row>
    <row r="58" spans="1:29" ht="12" customHeight="1" x14ac:dyDescent="0.3">
      <c r="B58" s="949"/>
      <c r="C58" s="950" t="str">
        <f t="shared" si="20"/>
        <v>ostatní, specifikujte</v>
      </c>
      <c r="D58" s="951">
        <f t="shared" si="19"/>
        <v>0</v>
      </c>
      <c r="E58" s="235"/>
      <c r="F58" s="235"/>
      <c r="G58" s="235"/>
      <c r="H58" s="235"/>
      <c r="I58" s="235"/>
      <c r="J58" s="235"/>
      <c r="K58" s="235"/>
      <c r="L58" s="235"/>
      <c r="M58" s="235"/>
      <c r="N58" s="235"/>
      <c r="O58" s="235"/>
      <c r="P58" s="235"/>
      <c r="Q58" s="235"/>
      <c r="R58" s="235"/>
      <c r="S58" s="235"/>
      <c r="T58" s="471"/>
      <c r="U58" s="228"/>
      <c r="V58" s="228"/>
      <c r="W58" s="228"/>
      <c r="X58" s="228"/>
      <c r="Y58" s="228"/>
      <c r="Z58" s="228"/>
      <c r="AA58" s="228"/>
      <c r="AB58" s="228"/>
      <c r="AC58" s="228"/>
    </row>
    <row r="59" spans="1:29" ht="15" thickBot="1" x14ac:dyDescent="0.35">
      <c r="B59" s="952"/>
      <c r="C59" s="953" t="str">
        <f>C50</f>
        <v>Celkové provozní náklady vozidel</v>
      </c>
      <c r="D59" s="954">
        <f t="shared" si="19"/>
        <v>0</v>
      </c>
      <c r="E59" s="955">
        <f t="shared" ref="E59:S59" si="21">SUM(E54:E58)</f>
        <v>0</v>
      </c>
      <c r="F59" s="955">
        <f t="shared" si="21"/>
        <v>0</v>
      </c>
      <c r="G59" s="955">
        <f t="shared" si="21"/>
        <v>0</v>
      </c>
      <c r="H59" s="955">
        <f t="shared" si="21"/>
        <v>0</v>
      </c>
      <c r="I59" s="955">
        <f t="shared" si="21"/>
        <v>0</v>
      </c>
      <c r="J59" s="955">
        <f t="shared" si="21"/>
        <v>0</v>
      </c>
      <c r="K59" s="955">
        <f t="shared" si="21"/>
        <v>0</v>
      </c>
      <c r="L59" s="955">
        <f t="shared" si="21"/>
        <v>0</v>
      </c>
      <c r="M59" s="955">
        <f t="shared" si="21"/>
        <v>0</v>
      </c>
      <c r="N59" s="955">
        <f t="shared" si="21"/>
        <v>0</v>
      </c>
      <c r="O59" s="955">
        <f t="shared" si="21"/>
        <v>0</v>
      </c>
      <c r="P59" s="955">
        <f t="shared" si="21"/>
        <v>0</v>
      </c>
      <c r="Q59" s="955">
        <f t="shared" si="21"/>
        <v>0</v>
      </c>
      <c r="R59" s="955">
        <f t="shared" si="21"/>
        <v>0</v>
      </c>
      <c r="S59" s="956">
        <f t="shared" si="21"/>
        <v>0</v>
      </c>
      <c r="T59" s="230"/>
      <c r="U59" s="230"/>
      <c r="V59" s="230"/>
      <c r="W59" s="230"/>
      <c r="X59" s="230"/>
      <c r="Y59" s="230"/>
      <c r="Z59" s="230"/>
      <c r="AA59" s="230"/>
      <c r="AB59" s="230"/>
      <c r="AC59" s="230"/>
    </row>
    <row r="60" spans="1:29" ht="14.25" thickBot="1" x14ac:dyDescent="0.35">
      <c r="B60" s="783"/>
      <c r="C60" s="769"/>
      <c r="D60" s="770"/>
      <c r="E60" s="770"/>
      <c r="F60" s="770"/>
      <c r="G60" s="770"/>
      <c r="H60" s="770"/>
      <c r="I60" s="770"/>
      <c r="J60" s="770"/>
      <c r="K60" s="770"/>
      <c r="L60" s="770"/>
      <c r="M60" s="770"/>
      <c r="N60" s="770"/>
      <c r="O60" s="770"/>
      <c r="P60" s="770"/>
      <c r="Q60" s="770"/>
      <c r="R60" s="770"/>
      <c r="S60" s="770"/>
      <c r="T60" s="228"/>
      <c r="U60" s="228"/>
      <c r="V60" s="228"/>
      <c r="W60" s="228"/>
      <c r="X60" s="228"/>
      <c r="Y60" s="228"/>
      <c r="Z60" s="228"/>
      <c r="AA60" s="228"/>
      <c r="AB60" s="228"/>
      <c r="AC60" s="228"/>
    </row>
    <row r="61" spans="1:29" ht="14.25" x14ac:dyDescent="0.3">
      <c r="B61" s="790" t="s">
        <v>21</v>
      </c>
      <c r="C61" s="803" t="str">
        <f>C52</f>
        <v>Celkové provozní náklady vozidel MHD</v>
      </c>
      <c r="D61" s="932"/>
      <c r="E61" s="1880">
        <f>S52+1</f>
        <v>2041</v>
      </c>
      <c r="F61" s="1848">
        <f t="shared" ref="F61:S61" si="22">E61+1</f>
        <v>2042</v>
      </c>
      <c r="G61" s="1848">
        <f t="shared" si="22"/>
        <v>2043</v>
      </c>
      <c r="H61" s="1848">
        <f t="shared" si="22"/>
        <v>2044</v>
      </c>
      <c r="I61" s="1848">
        <f t="shared" si="22"/>
        <v>2045</v>
      </c>
      <c r="J61" s="1848">
        <f t="shared" si="22"/>
        <v>2046</v>
      </c>
      <c r="K61" s="1848">
        <f t="shared" si="22"/>
        <v>2047</v>
      </c>
      <c r="L61" s="1848">
        <f t="shared" si="22"/>
        <v>2048</v>
      </c>
      <c r="M61" s="1848">
        <f t="shared" si="22"/>
        <v>2049</v>
      </c>
      <c r="N61" s="1848">
        <f t="shared" si="22"/>
        <v>2050</v>
      </c>
      <c r="O61" s="1848">
        <f t="shared" si="22"/>
        <v>2051</v>
      </c>
      <c r="P61" s="1848">
        <f t="shared" si="22"/>
        <v>2052</v>
      </c>
      <c r="Q61" s="1848">
        <f t="shared" si="22"/>
        <v>2053</v>
      </c>
      <c r="R61" s="1848">
        <f t="shared" si="22"/>
        <v>2054</v>
      </c>
      <c r="S61" s="1856">
        <f t="shared" si="22"/>
        <v>2055</v>
      </c>
      <c r="T61" s="229"/>
      <c r="U61" s="229"/>
      <c r="V61" s="229"/>
      <c r="W61" s="229"/>
      <c r="X61" s="229"/>
      <c r="Y61" s="229"/>
      <c r="Z61" s="229"/>
      <c r="AA61" s="229"/>
      <c r="AB61" s="229"/>
      <c r="AC61" s="229"/>
    </row>
    <row r="62" spans="1:29" ht="15" thickBot="1" x14ac:dyDescent="0.35">
      <c r="B62" s="792" t="s">
        <v>5</v>
      </c>
      <c r="C62" s="804" t="str">
        <f>C53</f>
        <v>Scénář bez projektu</v>
      </c>
      <c r="D62" s="933"/>
      <c r="E62" s="1881">
        <f>S53+1</f>
        <v>1</v>
      </c>
      <c r="F62" s="1849"/>
      <c r="G62" s="1849"/>
      <c r="H62" s="1849"/>
      <c r="I62" s="1849"/>
      <c r="J62" s="1849"/>
      <c r="K62" s="1849"/>
      <c r="L62" s="1849"/>
      <c r="M62" s="1849"/>
      <c r="N62" s="1849"/>
      <c r="O62" s="1849"/>
      <c r="P62" s="1849"/>
      <c r="Q62" s="1849"/>
      <c r="R62" s="1849"/>
      <c r="S62" s="1857"/>
      <c r="T62" s="229"/>
      <c r="U62" s="229"/>
      <c r="V62" s="229"/>
      <c r="W62" s="229"/>
      <c r="X62" s="229"/>
      <c r="Y62" s="229"/>
      <c r="Z62" s="229"/>
      <c r="AA62" s="229"/>
      <c r="AB62" s="229"/>
      <c r="AC62" s="229"/>
    </row>
    <row r="63" spans="1:29" ht="14.25" x14ac:dyDescent="0.3">
      <c r="B63" s="945"/>
      <c r="C63" s="946" t="str">
        <f t="shared" ref="C63" si="23">C54</f>
        <v>Náklady na provoz MĚSTSKÝCH AUTOBUSŮ</v>
      </c>
      <c r="D63" s="957"/>
      <c r="E63" s="938">
        <f>E28*'3 Doprava a přeprava'!D33</f>
        <v>0</v>
      </c>
      <c r="F63" s="938">
        <f>F28*'3 Doprava a přeprava'!E33</f>
        <v>0</v>
      </c>
      <c r="G63" s="938">
        <f>G28*'3 Doprava a přeprava'!F33</f>
        <v>0</v>
      </c>
      <c r="H63" s="938">
        <f>H28*'3 Doprava a přeprava'!G33</f>
        <v>0</v>
      </c>
      <c r="I63" s="938">
        <f>I28*'3 Doprava a přeprava'!H33</f>
        <v>0</v>
      </c>
      <c r="J63" s="938">
        <f>J28*'3 Doprava a přeprava'!I33</f>
        <v>0</v>
      </c>
      <c r="K63" s="938">
        <f>K28*'3 Doprava a přeprava'!J33</f>
        <v>0</v>
      </c>
      <c r="L63" s="938">
        <f>L28*'3 Doprava a přeprava'!K33</f>
        <v>0</v>
      </c>
      <c r="M63" s="938">
        <f>M28*'3 Doprava a přeprava'!L33</f>
        <v>0</v>
      </c>
      <c r="N63" s="938">
        <f>N28*'3 Doprava a přeprava'!M33</f>
        <v>0</v>
      </c>
      <c r="O63" s="938">
        <f>O28*'3 Doprava a přeprava'!N33</f>
        <v>0</v>
      </c>
      <c r="P63" s="938">
        <f>P28*'3 Doprava a přeprava'!O33</f>
        <v>0</v>
      </c>
      <c r="Q63" s="938">
        <f>Q28*'3 Doprava a přeprava'!P33</f>
        <v>0</v>
      </c>
      <c r="R63" s="938">
        <f>R28*'3 Doprava a přeprava'!Q33</f>
        <v>0</v>
      </c>
      <c r="S63" s="938">
        <f>S28*'3 Doprava a přeprava'!R33</f>
        <v>0</v>
      </c>
      <c r="T63" s="471"/>
      <c r="U63" s="228"/>
      <c r="V63" s="228"/>
      <c r="W63" s="228"/>
      <c r="X63" s="228"/>
      <c r="Y63" s="228"/>
      <c r="Z63" s="228"/>
      <c r="AA63" s="228"/>
      <c r="AB63" s="228"/>
      <c r="AC63" s="228"/>
    </row>
    <row r="64" spans="1:29" ht="14.25" x14ac:dyDescent="0.3">
      <c r="B64" s="948"/>
      <c r="C64" s="936" t="str">
        <f>C55</f>
        <v>Náklady na provoz TROLEJBUS</v>
      </c>
      <c r="D64" s="943"/>
      <c r="E64" s="938">
        <f>E29*'3 Doprava a přeprava'!D34</f>
        <v>0</v>
      </c>
      <c r="F64" s="938">
        <f>F29*'3 Doprava a přeprava'!E34</f>
        <v>0</v>
      </c>
      <c r="G64" s="938">
        <f>G29*'3 Doprava a přeprava'!F34</f>
        <v>0</v>
      </c>
      <c r="H64" s="938">
        <f>H29*'3 Doprava a přeprava'!G34</f>
        <v>0</v>
      </c>
      <c r="I64" s="938">
        <f>I29*'3 Doprava a přeprava'!H34</f>
        <v>0</v>
      </c>
      <c r="J64" s="938">
        <f>J29*'3 Doprava a přeprava'!I34</f>
        <v>0</v>
      </c>
      <c r="K64" s="938">
        <f>K29*'3 Doprava a přeprava'!J34</f>
        <v>0</v>
      </c>
      <c r="L64" s="938">
        <f>L29*'3 Doprava a přeprava'!K34</f>
        <v>0</v>
      </c>
      <c r="M64" s="938">
        <f>M29*'3 Doprava a přeprava'!L34</f>
        <v>0</v>
      </c>
      <c r="N64" s="938">
        <f>N29*'3 Doprava a přeprava'!M34</f>
        <v>0</v>
      </c>
      <c r="O64" s="938">
        <f>O29*'3 Doprava a přeprava'!N34</f>
        <v>0</v>
      </c>
      <c r="P64" s="938">
        <f>P29*'3 Doprava a přeprava'!O34</f>
        <v>0</v>
      </c>
      <c r="Q64" s="938">
        <f>Q29*'3 Doprava a přeprava'!P34</f>
        <v>0</v>
      </c>
      <c r="R64" s="938">
        <f>R29*'3 Doprava a přeprava'!Q34</f>
        <v>0</v>
      </c>
      <c r="S64" s="938">
        <f>S29*'3 Doprava a přeprava'!R34</f>
        <v>0</v>
      </c>
      <c r="T64" s="471"/>
      <c r="U64" s="228"/>
      <c r="V64" s="228"/>
      <c r="W64" s="228"/>
      <c r="X64" s="228"/>
      <c r="Y64" s="228"/>
      <c r="Z64" s="228"/>
      <c r="AA64" s="228"/>
      <c r="AB64" s="228"/>
      <c r="AC64" s="228"/>
    </row>
    <row r="65" spans="1:29" ht="14.25" x14ac:dyDescent="0.3">
      <c r="B65" s="948"/>
      <c r="C65" s="936" t="str">
        <f>C56</f>
        <v>Náklady na provoz TRAMVAJ</v>
      </c>
      <c r="D65" s="943"/>
      <c r="E65" s="938">
        <f>E30*'3 Doprava a přeprava'!D35</f>
        <v>0</v>
      </c>
      <c r="F65" s="938">
        <f>F30*'3 Doprava a přeprava'!E35</f>
        <v>0</v>
      </c>
      <c r="G65" s="938">
        <f>G30*'3 Doprava a přeprava'!F35</f>
        <v>0</v>
      </c>
      <c r="H65" s="938">
        <f>H30*'3 Doprava a přeprava'!G35</f>
        <v>0</v>
      </c>
      <c r="I65" s="938">
        <f>I30*'3 Doprava a přeprava'!H35</f>
        <v>0</v>
      </c>
      <c r="J65" s="938">
        <f>J30*'3 Doprava a přeprava'!I35</f>
        <v>0</v>
      </c>
      <c r="K65" s="938">
        <f>K30*'3 Doprava a přeprava'!J35</f>
        <v>0</v>
      </c>
      <c r="L65" s="938">
        <f>L30*'3 Doprava a přeprava'!K35</f>
        <v>0</v>
      </c>
      <c r="M65" s="938">
        <f>M30*'3 Doprava a přeprava'!L35</f>
        <v>0</v>
      </c>
      <c r="N65" s="938">
        <f>N30*'3 Doprava a přeprava'!M35</f>
        <v>0</v>
      </c>
      <c r="O65" s="938">
        <f>O30*'3 Doprava a přeprava'!N35</f>
        <v>0</v>
      </c>
      <c r="P65" s="938">
        <f>P30*'3 Doprava a přeprava'!O35</f>
        <v>0</v>
      </c>
      <c r="Q65" s="938">
        <f>Q30*'3 Doprava a přeprava'!P35</f>
        <v>0</v>
      </c>
      <c r="R65" s="938">
        <f>R30*'3 Doprava a přeprava'!Q35</f>
        <v>0</v>
      </c>
      <c r="S65" s="938">
        <f>S30*'3 Doprava a přeprava'!R35</f>
        <v>0</v>
      </c>
      <c r="T65" s="471"/>
      <c r="U65" s="228"/>
      <c r="V65" s="228"/>
      <c r="W65" s="228"/>
      <c r="X65" s="228"/>
      <c r="Y65" s="228"/>
      <c r="Z65" s="228"/>
      <c r="AA65" s="228"/>
      <c r="AB65" s="228"/>
      <c r="AC65" s="228"/>
    </row>
    <row r="66" spans="1:29" ht="14.25" x14ac:dyDescent="0.3">
      <c r="B66" s="948"/>
      <c r="C66" s="936" t="str">
        <f>C57</f>
        <v xml:space="preserve">Náklady na provoz METRA </v>
      </c>
      <c r="D66" s="943"/>
      <c r="E66" s="938">
        <f>E31*'3 Doprava a přeprava'!D36</f>
        <v>0</v>
      </c>
      <c r="F66" s="938">
        <f>F31*'3 Doprava a přeprava'!E36</f>
        <v>0</v>
      </c>
      <c r="G66" s="938">
        <f>G31*'3 Doprava a přeprava'!F36</f>
        <v>0</v>
      </c>
      <c r="H66" s="938">
        <f>H31*'3 Doprava a přeprava'!G36</f>
        <v>0</v>
      </c>
      <c r="I66" s="938">
        <f>I31*'3 Doprava a přeprava'!H36</f>
        <v>0</v>
      </c>
      <c r="J66" s="938">
        <f>J31*'3 Doprava a přeprava'!I36</f>
        <v>0</v>
      </c>
      <c r="K66" s="938">
        <f>K31*'3 Doprava a přeprava'!J36</f>
        <v>0</v>
      </c>
      <c r="L66" s="938">
        <f>L31*'3 Doprava a přeprava'!K36</f>
        <v>0</v>
      </c>
      <c r="M66" s="938">
        <f>M31*'3 Doprava a přeprava'!L36</f>
        <v>0</v>
      </c>
      <c r="N66" s="938">
        <f>N31*'3 Doprava a přeprava'!M36</f>
        <v>0</v>
      </c>
      <c r="O66" s="938">
        <f>O31*'3 Doprava a přeprava'!N36</f>
        <v>0</v>
      </c>
      <c r="P66" s="938">
        <f>P31*'3 Doprava a přeprava'!O36</f>
        <v>0</v>
      </c>
      <c r="Q66" s="938">
        <f>Q31*'3 Doprava a přeprava'!P36</f>
        <v>0</v>
      </c>
      <c r="R66" s="938">
        <f>R31*'3 Doprava a přeprava'!Q36</f>
        <v>0</v>
      </c>
      <c r="S66" s="938">
        <f>S31*'3 Doprava a přeprava'!R36</f>
        <v>0</v>
      </c>
      <c r="T66" s="471"/>
      <c r="U66" s="228"/>
      <c r="V66" s="228"/>
      <c r="W66" s="228"/>
      <c r="X66" s="228"/>
      <c r="Y66" s="228"/>
      <c r="Z66" s="228"/>
      <c r="AA66" s="228"/>
      <c r="AB66" s="228"/>
      <c r="AC66" s="228"/>
    </row>
    <row r="67" spans="1:29" ht="14.25" x14ac:dyDescent="0.3">
      <c r="B67" s="949"/>
      <c r="C67" s="950" t="str">
        <f>C58</f>
        <v>ostatní, specifikujte</v>
      </c>
      <c r="D67" s="958"/>
      <c r="E67" s="235"/>
      <c r="F67" s="235"/>
      <c r="G67" s="235"/>
      <c r="H67" s="235"/>
      <c r="I67" s="235"/>
      <c r="J67" s="235"/>
      <c r="K67" s="235"/>
      <c r="L67" s="235"/>
      <c r="M67" s="235"/>
      <c r="N67" s="235"/>
      <c r="O67" s="235"/>
      <c r="P67" s="235"/>
      <c r="Q67" s="235"/>
      <c r="R67" s="235"/>
      <c r="S67" s="235"/>
      <c r="T67" s="471"/>
      <c r="U67" s="228"/>
      <c r="V67" s="228"/>
      <c r="W67" s="228"/>
      <c r="X67" s="228"/>
      <c r="Y67" s="228"/>
      <c r="Z67" s="228"/>
      <c r="AA67" s="228"/>
      <c r="AB67" s="228"/>
      <c r="AC67" s="228"/>
    </row>
    <row r="68" spans="1:29" ht="15" thickBot="1" x14ac:dyDescent="0.35">
      <c r="A68" s="231"/>
      <c r="B68" s="952"/>
      <c r="C68" s="953" t="str">
        <f>C59</f>
        <v>Celkové provozní náklady vozidel</v>
      </c>
      <c r="D68" s="959"/>
      <c r="E68" s="955">
        <f t="shared" ref="E68:S68" si="24">SUM(E63:E67)</f>
        <v>0</v>
      </c>
      <c r="F68" s="955">
        <f t="shared" si="24"/>
        <v>0</v>
      </c>
      <c r="G68" s="955">
        <f t="shared" si="24"/>
        <v>0</v>
      </c>
      <c r="H68" s="955">
        <f t="shared" si="24"/>
        <v>0</v>
      </c>
      <c r="I68" s="955">
        <f t="shared" si="24"/>
        <v>0</v>
      </c>
      <c r="J68" s="955">
        <f t="shared" si="24"/>
        <v>0</v>
      </c>
      <c r="K68" s="955">
        <f t="shared" si="24"/>
        <v>0</v>
      </c>
      <c r="L68" s="955">
        <f t="shared" si="24"/>
        <v>0</v>
      </c>
      <c r="M68" s="955">
        <f t="shared" si="24"/>
        <v>0</v>
      </c>
      <c r="N68" s="955">
        <f t="shared" si="24"/>
        <v>0</v>
      </c>
      <c r="O68" s="955">
        <f t="shared" si="24"/>
        <v>0</v>
      </c>
      <c r="P68" s="955">
        <f t="shared" si="24"/>
        <v>0</v>
      </c>
      <c r="Q68" s="955">
        <f t="shared" si="24"/>
        <v>0</v>
      </c>
      <c r="R68" s="955">
        <f t="shared" si="24"/>
        <v>0</v>
      </c>
      <c r="S68" s="956">
        <f t="shared" si="24"/>
        <v>0</v>
      </c>
      <c r="T68" s="230"/>
      <c r="U68" s="230"/>
      <c r="V68" s="230"/>
      <c r="W68" s="230"/>
      <c r="X68" s="230"/>
      <c r="Y68" s="230"/>
      <c r="Z68" s="230"/>
      <c r="AA68" s="230"/>
      <c r="AB68" s="230"/>
      <c r="AC68" s="230"/>
    </row>
    <row r="69" spans="1:29" x14ac:dyDescent="0.3">
      <c r="A69" s="231"/>
      <c r="B69" s="787"/>
      <c r="C69" s="788"/>
      <c r="D69" s="770"/>
      <c r="E69" s="789"/>
      <c r="F69" s="789"/>
      <c r="G69" s="789"/>
      <c r="H69" s="789"/>
      <c r="I69" s="789"/>
      <c r="J69" s="789"/>
      <c r="K69" s="789"/>
      <c r="L69" s="789"/>
      <c r="M69" s="789"/>
      <c r="N69" s="789"/>
      <c r="O69" s="789"/>
      <c r="P69" s="789"/>
      <c r="Q69" s="789"/>
      <c r="R69" s="789"/>
      <c r="S69" s="789"/>
      <c r="T69" s="230"/>
      <c r="U69" s="230"/>
      <c r="V69" s="230"/>
      <c r="W69" s="230"/>
      <c r="X69" s="230"/>
      <c r="Y69" s="230"/>
      <c r="Z69" s="230"/>
      <c r="AA69" s="230"/>
      <c r="AB69" s="230"/>
      <c r="AC69" s="230"/>
    </row>
    <row r="70" spans="1:29" ht="14.25" thickBot="1" x14ac:dyDescent="0.35">
      <c r="B70" s="787"/>
      <c r="C70" s="769"/>
      <c r="D70" s="770"/>
      <c r="E70" s="770"/>
      <c r="F70" s="770"/>
      <c r="G70" s="770"/>
      <c r="H70" s="770"/>
      <c r="I70" s="770"/>
      <c r="J70" s="770"/>
      <c r="K70" s="770"/>
      <c r="L70" s="770"/>
      <c r="M70" s="770"/>
      <c r="N70" s="770"/>
      <c r="O70" s="770"/>
      <c r="P70" s="770"/>
      <c r="Q70" s="770"/>
      <c r="R70" s="770"/>
      <c r="S70" s="770"/>
      <c r="T70" s="228"/>
      <c r="U70" s="228"/>
      <c r="V70" s="228"/>
      <c r="W70" s="228"/>
      <c r="X70" s="228"/>
      <c r="Y70" s="228"/>
      <c r="Z70" s="228"/>
      <c r="AA70" s="228"/>
      <c r="AB70" s="228"/>
      <c r="AC70" s="228"/>
    </row>
    <row r="71" spans="1:29" ht="12.75" customHeight="1" x14ac:dyDescent="0.3">
      <c r="B71" s="960" t="s">
        <v>22</v>
      </c>
      <c r="C71" s="961" t="str">
        <f>IF('0 Úvod'!$M$10="English",Slovnik!D177,Slovnik!C177)</f>
        <v>Přírůstkové celkové provozní náklady (CZK)</v>
      </c>
      <c r="D71" s="962"/>
      <c r="E71" s="1934">
        <f>E34</f>
        <v>2026</v>
      </c>
      <c r="F71" s="1936">
        <f t="shared" ref="F71:S71" si="25">E71+1</f>
        <v>2027</v>
      </c>
      <c r="G71" s="1936">
        <f t="shared" si="25"/>
        <v>2028</v>
      </c>
      <c r="H71" s="1936">
        <f t="shared" si="25"/>
        <v>2029</v>
      </c>
      <c r="I71" s="1936">
        <f t="shared" si="25"/>
        <v>2030</v>
      </c>
      <c r="J71" s="1936">
        <f t="shared" si="25"/>
        <v>2031</v>
      </c>
      <c r="K71" s="1936">
        <f t="shared" si="25"/>
        <v>2032</v>
      </c>
      <c r="L71" s="1936">
        <f t="shared" si="25"/>
        <v>2033</v>
      </c>
      <c r="M71" s="1936">
        <f t="shared" si="25"/>
        <v>2034</v>
      </c>
      <c r="N71" s="1936">
        <f t="shared" si="25"/>
        <v>2035</v>
      </c>
      <c r="O71" s="1936">
        <f t="shared" si="25"/>
        <v>2036</v>
      </c>
      <c r="P71" s="1936">
        <f t="shared" si="25"/>
        <v>2037</v>
      </c>
      <c r="Q71" s="1936">
        <f t="shared" si="25"/>
        <v>2038</v>
      </c>
      <c r="R71" s="1936">
        <f t="shared" si="25"/>
        <v>2039</v>
      </c>
      <c r="S71" s="1938">
        <f t="shared" si="25"/>
        <v>2040</v>
      </c>
      <c r="T71" s="229"/>
      <c r="U71" s="229"/>
      <c r="V71" s="229"/>
      <c r="W71" s="229"/>
      <c r="X71" s="229"/>
      <c r="Y71" s="229"/>
      <c r="Z71" s="229"/>
      <c r="AA71" s="229"/>
      <c r="AB71" s="229"/>
      <c r="AC71" s="229"/>
    </row>
    <row r="72" spans="1:29" ht="12.75" customHeight="1" thickBot="1" x14ac:dyDescent="0.35">
      <c r="B72" s="963" t="s">
        <v>4</v>
      </c>
      <c r="C72" s="964"/>
      <c r="D72" s="965" t="str">
        <f>D53</f>
        <v>Celkem</v>
      </c>
      <c r="E72" s="1935"/>
      <c r="F72" s="1937"/>
      <c r="G72" s="1937"/>
      <c r="H72" s="1937"/>
      <c r="I72" s="1937"/>
      <c r="J72" s="1937"/>
      <c r="K72" s="1937"/>
      <c r="L72" s="1937"/>
      <c r="M72" s="1937"/>
      <c r="N72" s="1937"/>
      <c r="O72" s="1937"/>
      <c r="P72" s="1937"/>
      <c r="Q72" s="1937"/>
      <c r="R72" s="1937"/>
      <c r="S72" s="1939"/>
      <c r="T72" s="229"/>
      <c r="U72" s="229"/>
      <c r="V72" s="229"/>
      <c r="W72" s="229"/>
      <c r="X72" s="229"/>
      <c r="Y72" s="229"/>
      <c r="Z72" s="229"/>
      <c r="AA72" s="229"/>
      <c r="AB72" s="229"/>
      <c r="AC72" s="229"/>
    </row>
    <row r="73" spans="1:29" ht="12.75" customHeight="1" x14ac:dyDescent="0.3">
      <c r="A73" s="232"/>
      <c r="B73" s="945"/>
      <c r="C73" s="946" t="str">
        <f>C63</f>
        <v>Náklady na provoz MĚSTSKÝCH AUTOBUSŮ</v>
      </c>
      <c r="D73" s="947">
        <f t="shared" ref="D73:D78" si="26">SUM(E73:S73,E82:S82)</f>
        <v>0</v>
      </c>
      <c r="E73" s="938">
        <f>(E36-E54)</f>
        <v>0</v>
      </c>
      <c r="F73" s="938">
        <f t="shared" ref="F73:S73" si="27">(F36-F54)</f>
        <v>0</v>
      </c>
      <c r="G73" s="938">
        <f t="shared" si="27"/>
        <v>0</v>
      </c>
      <c r="H73" s="938">
        <f t="shared" si="27"/>
        <v>0</v>
      </c>
      <c r="I73" s="938">
        <f t="shared" si="27"/>
        <v>0</v>
      </c>
      <c r="J73" s="938">
        <f t="shared" si="27"/>
        <v>0</v>
      </c>
      <c r="K73" s="938">
        <f t="shared" si="27"/>
        <v>0</v>
      </c>
      <c r="L73" s="938">
        <f t="shared" si="27"/>
        <v>0</v>
      </c>
      <c r="M73" s="938">
        <f t="shared" si="27"/>
        <v>0</v>
      </c>
      <c r="N73" s="938">
        <f t="shared" si="27"/>
        <v>0</v>
      </c>
      <c r="O73" s="938">
        <f t="shared" si="27"/>
        <v>0</v>
      </c>
      <c r="P73" s="938">
        <f t="shared" si="27"/>
        <v>0</v>
      </c>
      <c r="Q73" s="938">
        <f t="shared" si="27"/>
        <v>0</v>
      </c>
      <c r="R73" s="938">
        <f t="shared" si="27"/>
        <v>0</v>
      </c>
      <c r="S73" s="966">
        <f t="shared" si="27"/>
        <v>0</v>
      </c>
      <c r="T73" s="228"/>
      <c r="U73" s="228"/>
      <c r="V73" s="228"/>
      <c r="W73" s="228"/>
      <c r="X73" s="228"/>
      <c r="Y73" s="228"/>
      <c r="Z73" s="228"/>
      <c r="AA73" s="228"/>
      <c r="AB73" s="228"/>
      <c r="AC73" s="228"/>
    </row>
    <row r="74" spans="1:29" ht="12.75" customHeight="1" x14ac:dyDescent="0.3">
      <c r="A74" s="232"/>
      <c r="B74" s="948"/>
      <c r="C74" s="936" t="str">
        <f>C64</f>
        <v>Náklady na provoz TROLEJBUS</v>
      </c>
      <c r="D74" s="937">
        <f t="shared" si="26"/>
        <v>0</v>
      </c>
      <c r="E74" s="938">
        <f t="shared" ref="E74:S77" si="28">(E37-E55)</f>
        <v>0</v>
      </c>
      <c r="F74" s="938">
        <f t="shared" si="28"/>
        <v>0</v>
      </c>
      <c r="G74" s="938">
        <f t="shared" si="28"/>
        <v>0</v>
      </c>
      <c r="H74" s="938">
        <f t="shared" si="28"/>
        <v>0</v>
      </c>
      <c r="I74" s="938">
        <f t="shared" si="28"/>
        <v>0</v>
      </c>
      <c r="J74" s="938">
        <f t="shared" si="28"/>
        <v>0</v>
      </c>
      <c r="K74" s="938">
        <f t="shared" si="28"/>
        <v>0</v>
      </c>
      <c r="L74" s="938">
        <f t="shared" si="28"/>
        <v>0</v>
      </c>
      <c r="M74" s="938">
        <f t="shared" si="28"/>
        <v>0</v>
      </c>
      <c r="N74" s="938">
        <f t="shared" si="28"/>
        <v>0</v>
      </c>
      <c r="O74" s="938">
        <f t="shared" si="28"/>
        <v>0</v>
      </c>
      <c r="P74" s="938">
        <f t="shared" si="28"/>
        <v>0</v>
      </c>
      <c r="Q74" s="938">
        <f t="shared" si="28"/>
        <v>0</v>
      </c>
      <c r="R74" s="938">
        <f t="shared" si="28"/>
        <v>0</v>
      </c>
      <c r="S74" s="966">
        <f t="shared" si="28"/>
        <v>0</v>
      </c>
      <c r="T74" s="228"/>
      <c r="U74" s="228"/>
      <c r="V74" s="228"/>
      <c r="W74" s="228"/>
      <c r="X74" s="228"/>
      <c r="Y74" s="228"/>
      <c r="Z74" s="228"/>
      <c r="AA74" s="228"/>
      <c r="AB74" s="228"/>
      <c r="AC74" s="228"/>
    </row>
    <row r="75" spans="1:29" ht="12.75" customHeight="1" x14ac:dyDescent="0.3">
      <c r="A75" s="232"/>
      <c r="B75" s="948"/>
      <c r="C75" s="936" t="str">
        <f t="shared" ref="C75:C77" si="29">C65</f>
        <v>Náklady na provoz TRAMVAJ</v>
      </c>
      <c r="D75" s="937">
        <f t="shared" si="26"/>
        <v>0</v>
      </c>
      <c r="E75" s="938">
        <f t="shared" si="28"/>
        <v>0</v>
      </c>
      <c r="F75" s="938">
        <f t="shared" si="28"/>
        <v>0</v>
      </c>
      <c r="G75" s="938">
        <f t="shared" si="28"/>
        <v>0</v>
      </c>
      <c r="H75" s="938">
        <f t="shared" si="28"/>
        <v>0</v>
      </c>
      <c r="I75" s="938">
        <f t="shared" si="28"/>
        <v>0</v>
      </c>
      <c r="J75" s="938">
        <f t="shared" si="28"/>
        <v>0</v>
      </c>
      <c r="K75" s="938">
        <f t="shared" si="28"/>
        <v>0</v>
      </c>
      <c r="L75" s="938">
        <f t="shared" si="28"/>
        <v>0</v>
      </c>
      <c r="M75" s="938">
        <f t="shared" si="28"/>
        <v>0</v>
      </c>
      <c r="N75" s="938">
        <f t="shared" si="28"/>
        <v>0</v>
      </c>
      <c r="O75" s="938">
        <f t="shared" si="28"/>
        <v>0</v>
      </c>
      <c r="P75" s="938">
        <f t="shared" si="28"/>
        <v>0</v>
      </c>
      <c r="Q75" s="938">
        <f t="shared" si="28"/>
        <v>0</v>
      </c>
      <c r="R75" s="938">
        <f t="shared" si="28"/>
        <v>0</v>
      </c>
      <c r="S75" s="966">
        <f t="shared" si="28"/>
        <v>0</v>
      </c>
      <c r="T75" s="228"/>
      <c r="U75" s="228"/>
      <c r="V75" s="228"/>
      <c r="W75" s="228"/>
      <c r="X75" s="228"/>
      <c r="Y75" s="228"/>
      <c r="Z75" s="228"/>
      <c r="AA75" s="228"/>
      <c r="AB75" s="228"/>
      <c r="AC75" s="228"/>
    </row>
    <row r="76" spans="1:29" ht="12.75" customHeight="1" x14ac:dyDescent="0.3">
      <c r="A76" s="232"/>
      <c r="B76" s="948"/>
      <c r="C76" s="936" t="str">
        <f t="shared" si="29"/>
        <v xml:space="preserve">Náklady na provoz METRA </v>
      </c>
      <c r="D76" s="937">
        <f t="shared" si="26"/>
        <v>0</v>
      </c>
      <c r="E76" s="938">
        <f t="shared" si="28"/>
        <v>0</v>
      </c>
      <c r="F76" s="938">
        <f t="shared" si="28"/>
        <v>0</v>
      </c>
      <c r="G76" s="938">
        <f t="shared" si="28"/>
        <v>0</v>
      </c>
      <c r="H76" s="938">
        <f t="shared" si="28"/>
        <v>0</v>
      </c>
      <c r="I76" s="938">
        <f t="shared" si="28"/>
        <v>0</v>
      </c>
      <c r="J76" s="938">
        <f t="shared" si="28"/>
        <v>0</v>
      </c>
      <c r="K76" s="938">
        <f t="shared" si="28"/>
        <v>0</v>
      </c>
      <c r="L76" s="938">
        <f t="shared" si="28"/>
        <v>0</v>
      </c>
      <c r="M76" s="938">
        <f t="shared" si="28"/>
        <v>0</v>
      </c>
      <c r="N76" s="938">
        <f t="shared" si="28"/>
        <v>0</v>
      </c>
      <c r="O76" s="938">
        <f t="shared" si="28"/>
        <v>0</v>
      </c>
      <c r="P76" s="938">
        <f t="shared" si="28"/>
        <v>0</v>
      </c>
      <c r="Q76" s="938">
        <f t="shared" si="28"/>
        <v>0</v>
      </c>
      <c r="R76" s="938">
        <f t="shared" si="28"/>
        <v>0</v>
      </c>
      <c r="S76" s="966">
        <f t="shared" si="28"/>
        <v>0</v>
      </c>
      <c r="T76" s="228"/>
      <c r="U76" s="228"/>
      <c r="V76" s="228"/>
      <c r="W76" s="228"/>
      <c r="X76" s="228"/>
      <c r="Y76" s="228"/>
      <c r="Z76" s="228"/>
      <c r="AA76" s="228"/>
      <c r="AB76" s="228"/>
      <c r="AC76" s="228"/>
    </row>
    <row r="77" spans="1:29" ht="12.75" customHeight="1" x14ac:dyDescent="0.3">
      <c r="A77" s="232"/>
      <c r="B77" s="949"/>
      <c r="C77" s="950" t="str">
        <f t="shared" si="29"/>
        <v>ostatní, specifikujte</v>
      </c>
      <c r="D77" s="951">
        <f t="shared" si="26"/>
        <v>0</v>
      </c>
      <c r="E77" s="938">
        <f t="shared" si="28"/>
        <v>0</v>
      </c>
      <c r="F77" s="938">
        <f t="shared" si="28"/>
        <v>0</v>
      </c>
      <c r="G77" s="938">
        <f t="shared" si="28"/>
        <v>0</v>
      </c>
      <c r="H77" s="938">
        <f t="shared" si="28"/>
        <v>0</v>
      </c>
      <c r="I77" s="938">
        <f t="shared" si="28"/>
        <v>0</v>
      </c>
      <c r="J77" s="938">
        <f t="shared" si="28"/>
        <v>0</v>
      </c>
      <c r="K77" s="938">
        <f t="shared" si="28"/>
        <v>0</v>
      </c>
      <c r="L77" s="938">
        <f t="shared" si="28"/>
        <v>0</v>
      </c>
      <c r="M77" s="938">
        <f t="shared" si="28"/>
        <v>0</v>
      </c>
      <c r="N77" s="938">
        <f t="shared" si="28"/>
        <v>0</v>
      </c>
      <c r="O77" s="938">
        <f t="shared" si="28"/>
        <v>0</v>
      </c>
      <c r="P77" s="938">
        <f t="shared" si="28"/>
        <v>0</v>
      </c>
      <c r="Q77" s="938">
        <f t="shared" si="28"/>
        <v>0</v>
      </c>
      <c r="R77" s="938">
        <f t="shared" si="28"/>
        <v>0</v>
      </c>
      <c r="S77" s="966">
        <f t="shared" si="28"/>
        <v>0</v>
      </c>
      <c r="T77" s="228"/>
      <c r="U77" s="228"/>
      <c r="V77" s="228"/>
      <c r="W77" s="228"/>
      <c r="X77" s="228"/>
      <c r="Y77" s="228"/>
      <c r="Z77" s="228"/>
      <c r="AA77" s="228"/>
      <c r="AB77" s="228"/>
      <c r="AC77" s="228"/>
    </row>
    <row r="78" spans="1:29" ht="15" thickBot="1" x14ac:dyDescent="0.35">
      <c r="B78" s="967"/>
      <c r="C78" s="968" t="str">
        <f>IF('0 Úvod'!$M$10="English",Slovnik!D178,Slovnik!C178)</f>
        <v>Přírůstkové celkové PN vozidel</v>
      </c>
      <c r="D78" s="969">
        <f t="shared" si="26"/>
        <v>0</v>
      </c>
      <c r="E78" s="970">
        <f t="shared" ref="E78:S78" si="30">SUM(E73:E77)</f>
        <v>0</v>
      </c>
      <c r="F78" s="970">
        <f t="shared" si="30"/>
        <v>0</v>
      </c>
      <c r="G78" s="970">
        <f t="shared" si="30"/>
        <v>0</v>
      </c>
      <c r="H78" s="970">
        <f t="shared" si="30"/>
        <v>0</v>
      </c>
      <c r="I78" s="970">
        <f t="shared" si="30"/>
        <v>0</v>
      </c>
      <c r="J78" s="970">
        <f t="shared" si="30"/>
        <v>0</v>
      </c>
      <c r="K78" s="970">
        <f t="shared" si="30"/>
        <v>0</v>
      </c>
      <c r="L78" s="970">
        <f t="shared" si="30"/>
        <v>0</v>
      </c>
      <c r="M78" s="970">
        <f t="shared" si="30"/>
        <v>0</v>
      </c>
      <c r="N78" s="970">
        <f t="shared" si="30"/>
        <v>0</v>
      </c>
      <c r="O78" s="970">
        <f t="shared" si="30"/>
        <v>0</v>
      </c>
      <c r="P78" s="970">
        <f t="shared" si="30"/>
        <v>0</v>
      </c>
      <c r="Q78" s="970">
        <f t="shared" si="30"/>
        <v>0</v>
      </c>
      <c r="R78" s="970">
        <f t="shared" si="30"/>
        <v>0</v>
      </c>
      <c r="S78" s="969">
        <f t="shared" si="30"/>
        <v>0</v>
      </c>
      <c r="T78" s="230"/>
      <c r="U78" s="230"/>
      <c r="V78" s="230"/>
      <c r="W78" s="230"/>
      <c r="X78" s="230"/>
      <c r="Y78" s="230"/>
      <c r="Z78" s="230"/>
      <c r="AA78" s="230"/>
      <c r="AB78" s="230"/>
      <c r="AC78" s="230"/>
    </row>
    <row r="79" spans="1:29" ht="14.25" thickBot="1" x14ac:dyDescent="0.35">
      <c r="B79" s="941"/>
      <c r="C79" s="769"/>
      <c r="D79" s="770"/>
      <c r="E79" s="770"/>
      <c r="F79" s="770"/>
      <c r="G79" s="770"/>
      <c r="H79" s="770"/>
      <c r="I79" s="770"/>
      <c r="J79" s="770"/>
      <c r="K79" s="770"/>
      <c r="L79" s="770"/>
      <c r="M79" s="770"/>
      <c r="N79" s="770"/>
      <c r="O79" s="770"/>
      <c r="P79" s="770"/>
      <c r="Q79" s="770"/>
      <c r="R79" s="770"/>
      <c r="S79" s="770"/>
      <c r="T79" s="228"/>
      <c r="U79" s="228"/>
      <c r="V79" s="228"/>
      <c r="W79" s="228"/>
      <c r="X79" s="228"/>
      <c r="Y79" s="228"/>
      <c r="Z79" s="228"/>
      <c r="AA79" s="228"/>
      <c r="AB79" s="228"/>
      <c r="AC79" s="228"/>
    </row>
    <row r="80" spans="1:29" ht="12.75" customHeight="1" x14ac:dyDescent="0.3">
      <c r="B80" s="971" t="s">
        <v>22</v>
      </c>
      <c r="C80" s="961" t="str">
        <f>C71</f>
        <v>Přírůstkové celkové provozní náklady (CZK)</v>
      </c>
      <c r="D80" s="962"/>
      <c r="E80" s="1934">
        <f>S71+1</f>
        <v>2041</v>
      </c>
      <c r="F80" s="1936">
        <f t="shared" ref="F80:S80" si="31">E80+1</f>
        <v>2042</v>
      </c>
      <c r="G80" s="1936">
        <f t="shared" si="31"/>
        <v>2043</v>
      </c>
      <c r="H80" s="1936">
        <f t="shared" si="31"/>
        <v>2044</v>
      </c>
      <c r="I80" s="1936">
        <f t="shared" si="31"/>
        <v>2045</v>
      </c>
      <c r="J80" s="1936">
        <f t="shared" si="31"/>
        <v>2046</v>
      </c>
      <c r="K80" s="1936">
        <f t="shared" si="31"/>
        <v>2047</v>
      </c>
      <c r="L80" s="1936">
        <f t="shared" si="31"/>
        <v>2048</v>
      </c>
      <c r="M80" s="1936">
        <f t="shared" si="31"/>
        <v>2049</v>
      </c>
      <c r="N80" s="1936">
        <f t="shared" si="31"/>
        <v>2050</v>
      </c>
      <c r="O80" s="1936">
        <f t="shared" si="31"/>
        <v>2051</v>
      </c>
      <c r="P80" s="1936">
        <f t="shared" si="31"/>
        <v>2052</v>
      </c>
      <c r="Q80" s="1936">
        <f t="shared" si="31"/>
        <v>2053</v>
      </c>
      <c r="R80" s="1936">
        <f t="shared" si="31"/>
        <v>2054</v>
      </c>
      <c r="S80" s="1938">
        <f t="shared" si="31"/>
        <v>2055</v>
      </c>
      <c r="T80" s="229"/>
      <c r="U80" s="229"/>
      <c r="V80" s="229"/>
      <c r="W80" s="229"/>
      <c r="X80" s="229"/>
      <c r="Y80" s="229"/>
      <c r="Z80" s="229"/>
      <c r="AA80" s="229"/>
      <c r="AB80" s="229"/>
      <c r="AC80" s="229"/>
    </row>
    <row r="81" spans="1:29" ht="12.75" customHeight="1" thickBot="1" x14ac:dyDescent="0.35">
      <c r="B81" s="963" t="s">
        <v>5</v>
      </c>
      <c r="C81" s="964"/>
      <c r="D81" s="972"/>
      <c r="E81" s="1935">
        <f>S72+1</f>
        <v>1</v>
      </c>
      <c r="F81" s="1937"/>
      <c r="G81" s="1937"/>
      <c r="H81" s="1937"/>
      <c r="I81" s="1937"/>
      <c r="J81" s="1937"/>
      <c r="K81" s="1937"/>
      <c r="L81" s="1937"/>
      <c r="M81" s="1937"/>
      <c r="N81" s="1937"/>
      <c r="O81" s="1937"/>
      <c r="P81" s="1937"/>
      <c r="Q81" s="1937"/>
      <c r="R81" s="1937"/>
      <c r="S81" s="1939"/>
      <c r="T81" s="229"/>
      <c r="U81" s="229"/>
      <c r="V81" s="229"/>
      <c r="W81" s="229"/>
      <c r="X81" s="229"/>
      <c r="Y81" s="229"/>
      <c r="Z81" s="229"/>
      <c r="AA81" s="229"/>
      <c r="AB81" s="229"/>
      <c r="AC81" s="229"/>
    </row>
    <row r="82" spans="1:29" ht="12.75" customHeight="1" x14ac:dyDescent="0.3">
      <c r="A82" s="232"/>
      <c r="B82" s="945"/>
      <c r="C82" s="946" t="str">
        <f>C73</f>
        <v>Náklady na provoz MĚSTSKÝCH AUTOBUSŮ</v>
      </c>
      <c r="D82" s="957"/>
      <c r="E82" s="938">
        <f>(E45-E63)</f>
        <v>0</v>
      </c>
      <c r="F82" s="938">
        <f t="shared" ref="F82:S82" si="32">(F45-F63)</f>
        <v>0</v>
      </c>
      <c r="G82" s="938">
        <f t="shared" si="32"/>
        <v>0</v>
      </c>
      <c r="H82" s="938">
        <f t="shared" si="32"/>
        <v>0</v>
      </c>
      <c r="I82" s="938">
        <f t="shared" si="32"/>
        <v>0</v>
      </c>
      <c r="J82" s="938">
        <f t="shared" si="32"/>
        <v>0</v>
      </c>
      <c r="K82" s="938">
        <f t="shared" si="32"/>
        <v>0</v>
      </c>
      <c r="L82" s="938">
        <f t="shared" si="32"/>
        <v>0</v>
      </c>
      <c r="M82" s="938">
        <f t="shared" si="32"/>
        <v>0</v>
      </c>
      <c r="N82" s="938">
        <f t="shared" si="32"/>
        <v>0</v>
      </c>
      <c r="O82" s="938">
        <f t="shared" si="32"/>
        <v>0</v>
      </c>
      <c r="P82" s="938">
        <f t="shared" si="32"/>
        <v>0</v>
      </c>
      <c r="Q82" s="938">
        <f t="shared" si="32"/>
        <v>0</v>
      </c>
      <c r="R82" s="938">
        <f t="shared" si="32"/>
        <v>0</v>
      </c>
      <c r="S82" s="966">
        <f t="shared" si="32"/>
        <v>0</v>
      </c>
      <c r="T82" s="228"/>
      <c r="U82" s="228"/>
      <c r="V82" s="228"/>
      <c r="W82" s="228"/>
      <c r="X82" s="228"/>
      <c r="Y82" s="228"/>
      <c r="Z82" s="228"/>
      <c r="AA82" s="228"/>
      <c r="AB82" s="228"/>
      <c r="AC82" s="228"/>
    </row>
    <row r="83" spans="1:29" ht="12.75" customHeight="1" x14ac:dyDescent="0.3">
      <c r="A83" s="232"/>
      <c r="B83" s="948"/>
      <c r="C83" s="936" t="str">
        <f>C74</f>
        <v>Náklady na provoz TROLEJBUS</v>
      </c>
      <c r="D83" s="943"/>
      <c r="E83" s="938">
        <f>(E46-E64)</f>
        <v>0</v>
      </c>
      <c r="F83" s="938">
        <f t="shared" ref="F83:S83" si="33">(F46-F64)</f>
        <v>0</v>
      </c>
      <c r="G83" s="938">
        <f t="shared" si="33"/>
        <v>0</v>
      </c>
      <c r="H83" s="938">
        <f t="shared" si="33"/>
        <v>0</v>
      </c>
      <c r="I83" s="938">
        <f t="shared" si="33"/>
        <v>0</v>
      </c>
      <c r="J83" s="938">
        <f t="shared" si="33"/>
        <v>0</v>
      </c>
      <c r="K83" s="938">
        <f t="shared" si="33"/>
        <v>0</v>
      </c>
      <c r="L83" s="938">
        <f t="shared" si="33"/>
        <v>0</v>
      </c>
      <c r="M83" s="938">
        <f t="shared" si="33"/>
        <v>0</v>
      </c>
      <c r="N83" s="938">
        <f t="shared" si="33"/>
        <v>0</v>
      </c>
      <c r="O83" s="938">
        <f t="shared" si="33"/>
        <v>0</v>
      </c>
      <c r="P83" s="938">
        <f t="shared" si="33"/>
        <v>0</v>
      </c>
      <c r="Q83" s="938">
        <f t="shared" si="33"/>
        <v>0</v>
      </c>
      <c r="R83" s="938">
        <f t="shared" si="33"/>
        <v>0</v>
      </c>
      <c r="S83" s="966">
        <f t="shared" si="33"/>
        <v>0</v>
      </c>
      <c r="T83" s="228"/>
      <c r="U83" s="228"/>
      <c r="V83" s="228"/>
      <c r="W83" s="228"/>
      <c r="X83" s="228"/>
      <c r="Y83" s="228"/>
      <c r="Z83" s="228"/>
      <c r="AA83" s="228"/>
      <c r="AB83" s="228"/>
      <c r="AC83" s="228"/>
    </row>
    <row r="84" spans="1:29" ht="12.75" customHeight="1" x14ac:dyDescent="0.3">
      <c r="A84" s="232"/>
      <c r="B84" s="948"/>
      <c r="C84" s="936" t="str">
        <f>C75</f>
        <v>Náklady na provoz TRAMVAJ</v>
      </c>
      <c r="D84" s="943"/>
      <c r="E84" s="938">
        <f>(E47-E65)</f>
        <v>0</v>
      </c>
      <c r="F84" s="938">
        <f t="shared" ref="F84:S84" si="34">(F47-F65)</f>
        <v>0</v>
      </c>
      <c r="G84" s="938">
        <f t="shared" si="34"/>
        <v>0</v>
      </c>
      <c r="H84" s="938">
        <f t="shared" si="34"/>
        <v>0</v>
      </c>
      <c r="I84" s="938">
        <f t="shared" si="34"/>
        <v>0</v>
      </c>
      <c r="J84" s="938">
        <f t="shared" si="34"/>
        <v>0</v>
      </c>
      <c r="K84" s="938">
        <f t="shared" si="34"/>
        <v>0</v>
      </c>
      <c r="L84" s="938">
        <f t="shared" si="34"/>
        <v>0</v>
      </c>
      <c r="M84" s="938">
        <f t="shared" si="34"/>
        <v>0</v>
      </c>
      <c r="N84" s="938">
        <f t="shared" si="34"/>
        <v>0</v>
      </c>
      <c r="O84" s="938">
        <f t="shared" si="34"/>
        <v>0</v>
      </c>
      <c r="P84" s="938">
        <f t="shared" si="34"/>
        <v>0</v>
      </c>
      <c r="Q84" s="938">
        <f t="shared" si="34"/>
        <v>0</v>
      </c>
      <c r="R84" s="938">
        <f t="shared" si="34"/>
        <v>0</v>
      </c>
      <c r="S84" s="966">
        <f t="shared" si="34"/>
        <v>0</v>
      </c>
      <c r="T84" s="228"/>
      <c r="U84" s="228"/>
      <c r="V84" s="228"/>
      <c r="W84" s="228"/>
      <c r="X84" s="228"/>
      <c r="Y84" s="228"/>
      <c r="Z84" s="228"/>
      <c r="AA84" s="228"/>
      <c r="AB84" s="228"/>
      <c r="AC84" s="228"/>
    </row>
    <row r="85" spans="1:29" ht="12.75" customHeight="1" x14ac:dyDescent="0.3">
      <c r="A85" s="232"/>
      <c r="B85" s="948"/>
      <c r="C85" s="936" t="str">
        <f t="shared" ref="C85:C86" si="35">C76</f>
        <v xml:space="preserve">Náklady na provoz METRA </v>
      </c>
      <c r="D85" s="943"/>
      <c r="E85" s="938">
        <f t="shared" ref="E85:S86" si="36">(E48-E66)</f>
        <v>0</v>
      </c>
      <c r="F85" s="938">
        <f t="shared" si="36"/>
        <v>0</v>
      </c>
      <c r="G85" s="938">
        <f t="shared" si="36"/>
        <v>0</v>
      </c>
      <c r="H85" s="938">
        <f t="shared" si="36"/>
        <v>0</v>
      </c>
      <c r="I85" s="938">
        <f t="shared" si="36"/>
        <v>0</v>
      </c>
      <c r="J85" s="938">
        <f t="shared" si="36"/>
        <v>0</v>
      </c>
      <c r="K85" s="938">
        <f t="shared" si="36"/>
        <v>0</v>
      </c>
      <c r="L85" s="938">
        <f t="shared" si="36"/>
        <v>0</v>
      </c>
      <c r="M85" s="938">
        <f t="shared" si="36"/>
        <v>0</v>
      </c>
      <c r="N85" s="938">
        <f t="shared" si="36"/>
        <v>0</v>
      </c>
      <c r="O85" s="938">
        <f t="shared" si="36"/>
        <v>0</v>
      </c>
      <c r="P85" s="938">
        <f t="shared" si="36"/>
        <v>0</v>
      </c>
      <c r="Q85" s="938">
        <f t="shared" si="36"/>
        <v>0</v>
      </c>
      <c r="R85" s="938">
        <f t="shared" si="36"/>
        <v>0</v>
      </c>
      <c r="S85" s="966">
        <f t="shared" si="36"/>
        <v>0</v>
      </c>
      <c r="T85" s="228"/>
      <c r="U85" s="228"/>
      <c r="V85" s="228"/>
      <c r="W85" s="228"/>
      <c r="X85" s="228"/>
      <c r="Y85" s="228"/>
      <c r="Z85" s="228"/>
      <c r="AA85" s="228"/>
      <c r="AB85" s="228"/>
      <c r="AC85" s="228"/>
    </row>
    <row r="86" spans="1:29" ht="12.75" customHeight="1" x14ac:dyDescent="0.3">
      <c r="A86" s="232"/>
      <c r="B86" s="949"/>
      <c r="C86" s="950" t="str">
        <f t="shared" si="35"/>
        <v>ostatní, specifikujte</v>
      </c>
      <c r="D86" s="958"/>
      <c r="E86" s="938">
        <f t="shared" si="36"/>
        <v>0</v>
      </c>
      <c r="F86" s="938">
        <f t="shared" si="36"/>
        <v>0</v>
      </c>
      <c r="G86" s="938">
        <f t="shared" si="36"/>
        <v>0</v>
      </c>
      <c r="H86" s="938">
        <f t="shared" si="36"/>
        <v>0</v>
      </c>
      <c r="I86" s="938">
        <f t="shared" si="36"/>
        <v>0</v>
      </c>
      <c r="J86" s="938">
        <f t="shared" si="36"/>
        <v>0</v>
      </c>
      <c r="K86" s="938">
        <f t="shared" si="36"/>
        <v>0</v>
      </c>
      <c r="L86" s="938">
        <f t="shared" si="36"/>
        <v>0</v>
      </c>
      <c r="M86" s="938">
        <f t="shared" si="36"/>
        <v>0</v>
      </c>
      <c r="N86" s="938">
        <f t="shared" si="36"/>
        <v>0</v>
      </c>
      <c r="O86" s="938">
        <f t="shared" si="36"/>
        <v>0</v>
      </c>
      <c r="P86" s="938">
        <f t="shared" si="36"/>
        <v>0</v>
      </c>
      <c r="Q86" s="938">
        <f t="shared" si="36"/>
        <v>0</v>
      </c>
      <c r="R86" s="938">
        <f t="shared" si="36"/>
        <v>0</v>
      </c>
      <c r="S86" s="966">
        <f t="shared" si="36"/>
        <v>0</v>
      </c>
      <c r="T86" s="228"/>
      <c r="U86" s="228"/>
      <c r="V86" s="228"/>
      <c r="W86" s="228"/>
      <c r="X86" s="228"/>
      <c r="Y86" s="228"/>
      <c r="Z86" s="228"/>
      <c r="AA86" s="228"/>
      <c r="AB86" s="228"/>
      <c r="AC86" s="228"/>
    </row>
    <row r="87" spans="1:29" ht="15" thickBot="1" x14ac:dyDescent="0.35">
      <c r="B87" s="967"/>
      <c r="C87" s="968" t="str">
        <f>C78</f>
        <v>Přírůstkové celkové PN vozidel</v>
      </c>
      <c r="D87" s="973"/>
      <c r="E87" s="970">
        <f>SUM(E82:E86)</f>
        <v>0</v>
      </c>
      <c r="F87" s="970">
        <f t="shared" ref="F87:S87" si="37">SUM(F82:F86)</f>
        <v>0</v>
      </c>
      <c r="G87" s="970">
        <f t="shared" si="37"/>
        <v>0</v>
      </c>
      <c r="H87" s="970">
        <f t="shared" si="37"/>
        <v>0</v>
      </c>
      <c r="I87" s="970">
        <f t="shared" si="37"/>
        <v>0</v>
      </c>
      <c r="J87" s="970">
        <f t="shared" si="37"/>
        <v>0</v>
      </c>
      <c r="K87" s="970">
        <f t="shared" si="37"/>
        <v>0</v>
      </c>
      <c r="L87" s="970">
        <f t="shared" si="37"/>
        <v>0</v>
      </c>
      <c r="M87" s="970">
        <f t="shared" si="37"/>
        <v>0</v>
      </c>
      <c r="N87" s="970">
        <f t="shared" si="37"/>
        <v>0</v>
      </c>
      <c r="O87" s="970">
        <f t="shared" si="37"/>
        <v>0</v>
      </c>
      <c r="P87" s="970">
        <f t="shared" si="37"/>
        <v>0</v>
      </c>
      <c r="Q87" s="970">
        <f t="shared" si="37"/>
        <v>0</v>
      </c>
      <c r="R87" s="970">
        <f t="shared" si="37"/>
        <v>0</v>
      </c>
      <c r="S87" s="969">
        <f t="shared" si="37"/>
        <v>0</v>
      </c>
      <c r="T87" s="230"/>
      <c r="U87" s="230"/>
      <c r="V87" s="230"/>
      <c r="W87" s="230"/>
      <c r="X87" s="230"/>
      <c r="Y87" s="230"/>
      <c r="Z87" s="230"/>
      <c r="AA87" s="230"/>
      <c r="AB87" s="230"/>
      <c r="AC87" s="230"/>
    </row>
    <row r="88" spans="1:29" ht="15" thickBot="1" x14ac:dyDescent="0.35">
      <c r="B88" s="944"/>
      <c r="C88" s="974"/>
      <c r="D88" s="975"/>
      <c r="E88" s="789"/>
      <c r="F88" s="789"/>
      <c r="G88" s="789"/>
      <c r="H88" s="789"/>
      <c r="I88" s="789"/>
      <c r="J88" s="789"/>
      <c r="K88" s="789"/>
      <c r="L88" s="789"/>
      <c r="M88" s="789"/>
      <c r="N88" s="789"/>
      <c r="O88" s="789"/>
      <c r="P88" s="789"/>
      <c r="Q88" s="789"/>
      <c r="R88" s="789"/>
      <c r="S88" s="789"/>
    </row>
    <row r="89" spans="1:29" ht="14.25" x14ac:dyDescent="0.3">
      <c r="B89" s="976"/>
      <c r="C89" s="977" t="str">
        <f>IF('0 Úvod'!$M$10="English",Slovnik!D179,Slovnik!C179)</f>
        <v>Scénář s projektem (CZK)</v>
      </c>
      <c r="D89" s="978">
        <f>D41</f>
        <v>0</v>
      </c>
      <c r="E89" s="769"/>
      <c r="F89" s="769"/>
      <c r="G89" s="769"/>
      <c r="H89" s="769"/>
      <c r="I89" s="769"/>
      <c r="J89" s="769"/>
      <c r="K89" s="769"/>
      <c r="L89" s="769"/>
      <c r="M89" s="769"/>
      <c r="N89" s="769"/>
      <c r="O89" s="769"/>
      <c r="P89" s="769"/>
      <c r="Q89" s="769"/>
      <c r="R89" s="769"/>
      <c r="S89" s="769"/>
    </row>
    <row r="90" spans="1:29" ht="14.25" x14ac:dyDescent="0.3">
      <c r="B90" s="979"/>
      <c r="C90" s="980" t="str">
        <f>IF('0 Úvod'!$M$10="English",Slovnik!D180,Slovnik!C180)</f>
        <v>Scénář bez projektu (CZK)</v>
      </c>
      <c r="D90" s="981">
        <f>D59</f>
        <v>0</v>
      </c>
      <c r="E90" s="769"/>
      <c r="F90" s="769"/>
      <c r="G90" s="769"/>
      <c r="H90" s="769"/>
      <c r="I90" s="769"/>
      <c r="J90" s="769"/>
      <c r="K90" s="769"/>
      <c r="L90" s="769"/>
      <c r="M90" s="769"/>
      <c r="N90" s="769"/>
      <c r="O90" s="769"/>
      <c r="P90" s="769"/>
      <c r="Q90" s="769"/>
      <c r="R90" s="769"/>
      <c r="S90" s="769"/>
    </row>
    <row r="91" spans="1:29" ht="15" thickBot="1" x14ac:dyDescent="0.35">
      <c r="B91" s="982"/>
      <c r="C91" s="983" t="str">
        <f>IF('0 Úvod'!$M$10="English",Slovnik!D181,Slovnik!C181)</f>
        <v>Přírůstkové cash-flow (CZK)</v>
      </c>
      <c r="D91" s="984">
        <f>D78</f>
        <v>0</v>
      </c>
      <c r="E91" s="770"/>
      <c r="F91" s="769"/>
      <c r="G91" s="769"/>
      <c r="H91" s="769"/>
      <c r="I91" s="769"/>
      <c r="J91" s="769"/>
      <c r="K91" s="769"/>
      <c r="L91" s="769"/>
      <c r="M91" s="769"/>
      <c r="N91" s="769"/>
      <c r="O91" s="769"/>
      <c r="P91" s="769"/>
      <c r="Q91" s="769"/>
      <c r="R91" s="769"/>
      <c r="S91" s="769"/>
    </row>
    <row r="93" spans="1:29" x14ac:dyDescent="0.3">
      <c r="T93" s="228"/>
      <c r="U93" s="228"/>
      <c r="V93" s="228"/>
      <c r="W93" s="228"/>
      <c r="X93" s="228"/>
      <c r="Y93" s="228"/>
      <c r="Z93" s="228"/>
      <c r="AA93" s="228"/>
      <c r="AB93" s="228"/>
    </row>
    <row r="127" spans="2:19" ht="15" thickBot="1" x14ac:dyDescent="0.35">
      <c r="B127" s="233"/>
    </row>
    <row r="128" spans="2:19" x14ac:dyDescent="0.3">
      <c r="B128" s="1884" t="str">
        <f>IF('0 Úvod'!$M$10="English",Slovnik!$D$183,Slovnik!$C$183)</f>
        <v>Komentáře</v>
      </c>
      <c r="C128" s="1885"/>
      <c r="D128" s="1885"/>
      <c r="E128" s="1885"/>
      <c r="F128" s="1885"/>
      <c r="G128" s="1885"/>
      <c r="H128" s="1885"/>
      <c r="I128" s="1885"/>
      <c r="J128" s="1885"/>
      <c r="K128" s="1885"/>
      <c r="L128" s="1885"/>
      <c r="M128" s="1885"/>
      <c r="N128" s="1885"/>
      <c r="O128" s="1885"/>
      <c r="P128" s="1885"/>
      <c r="Q128" s="1885"/>
      <c r="R128" s="1886"/>
      <c r="S128" s="1887"/>
    </row>
    <row r="129" spans="2:19" ht="14.25" thickBot="1" x14ac:dyDescent="0.35">
      <c r="B129" s="1888"/>
      <c r="C129" s="1889"/>
      <c r="D129" s="1889"/>
      <c r="E129" s="1889"/>
      <c r="F129" s="1889"/>
      <c r="G129" s="1889"/>
      <c r="H129" s="1889"/>
      <c r="I129" s="1889"/>
      <c r="J129" s="1889"/>
      <c r="K129" s="1889"/>
      <c r="L129" s="1889"/>
      <c r="M129" s="1889"/>
      <c r="N129" s="1889"/>
      <c r="O129" s="1889"/>
      <c r="P129" s="1889"/>
      <c r="Q129" s="1889"/>
      <c r="R129" s="1890"/>
      <c r="S129" s="1891"/>
    </row>
    <row r="130" spans="2:19" ht="42.75" customHeight="1" thickBot="1" x14ac:dyDescent="0.35">
      <c r="B130" s="1931" t="s">
        <v>1384</v>
      </c>
      <c r="C130" s="1932"/>
      <c r="D130" s="1932"/>
      <c r="E130" s="1932"/>
      <c r="F130" s="1932"/>
      <c r="G130" s="1932"/>
      <c r="H130" s="1932"/>
      <c r="I130" s="1932"/>
      <c r="J130" s="1932"/>
      <c r="K130" s="1932"/>
      <c r="L130" s="1932"/>
      <c r="M130" s="1932"/>
      <c r="N130" s="1932"/>
      <c r="O130" s="1932"/>
      <c r="P130" s="1932"/>
      <c r="Q130" s="1932"/>
      <c r="R130" s="1932"/>
      <c r="S130" s="1933"/>
    </row>
    <row r="131" spans="2:19" ht="15" customHeight="1" x14ac:dyDescent="0.3">
      <c r="B131" s="1925"/>
      <c r="C131" s="1926"/>
      <c r="D131" s="1926"/>
      <c r="E131" s="1926"/>
      <c r="F131" s="1926"/>
      <c r="G131" s="1926"/>
      <c r="H131" s="1926"/>
      <c r="I131" s="1926"/>
      <c r="J131" s="1926"/>
      <c r="K131" s="1926"/>
      <c r="L131" s="1926"/>
      <c r="M131" s="1926"/>
      <c r="N131" s="1926"/>
      <c r="O131" s="1926"/>
      <c r="P131" s="1926"/>
      <c r="Q131" s="1926"/>
      <c r="R131" s="1926"/>
      <c r="S131" s="1927"/>
    </row>
    <row r="132" spans="2:19" ht="14.25" customHeight="1" thickBot="1" x14ac:dyDescent="0.35">
      <c r="B132" s="1928"/>
      <c r="C132" s="1929"/>
      <c r="D132" s="1929"/>
      <c r="E132" s="1929"/>
      <c r="F132" s="1929"/>
      <c r="G132" s="1929"/>
      <c r="H132" s="1929"/>
      <c r="I132" s="1929"/>
      <c r="J132" s="1929"/>
      <c r="K132" s="1929"/>
      <c r="L132" s="1929"/>
      <c r="M132" s="1929"/>
      <c r="N132" s="1929"/>
      <c r="O132" s="1929"/>
      <c r="P132" s="1929"/>
      <c r="Q132" s="1929"/>
      <c r="R132" s="1929"/>
      <c r="S132" s="1930"/>
    </row>
    <row r="134" spans="2:19" ht="14.25" x14ac:dyDescent="0.3">
      <c r="C134" s="234"/>
      <c r="D134" s="228"/>
      <c r="E134" s="228"/>
      <c r="F134" s="228"/>
      <c r="G134" s="228"/>
      <c r="H134" s="228"/>
      <c r="I134" s="228"/>
      <c r="J134" s="228"/>
      <c r="K134" s="228"/>
      <c r="L134" s="228"/>
      <c r="M134" s="228"/>
      <c r="N134" s="228"/>
      <c r="O134" s="228"/>
      <c r="P134" s="228"/>
      <c r="Q134" s="228"/>
      <c r="R134" s="228"/>
      <c r="S134" s="228"/>
    </row>
  </sheetData>
  <sheetProtection algorithmName="SHA-512" hashValue="qBqSN6xpiC+0bDfGk+U22g53P07bBSy7t28h2I9h9VDFmYga8lnhbVRWukH+ml1mqEYyMLqNCj8ECEdpn6aelg==" saltValue="GyJpWLv5KETW6gbrrpjyLQ==" spinCount="100000" sheet="1" objects="1" scenarios="1"/>
  <mergeCells count="153">
    <mergeCell ref="Q34:Q35"/>
    <mergeCell ref="Q43:Q44"/>
    <mergeCell ref="P43:P44"/>
    <mergeCell ref="O43:O44"/>
    <mergeCell ref="N43:N44"/>
    <mergeCell ref="M43:M44"/>
    <mergeCell ref="R34:R35"/>
    <mergeCell ref="S34:S35"/>
    <mergeCell ref="M34:M35"/>
    <mergeCell ref="N34:N35"/>
    <mergeCell ref="O34:O35"/>
    <mergeCell ref="P34:P35"/>
    <mergeCell ref="E43:E44"/>
    <mergeCell ref="F43:F44"/>
    <mergeCell ref="G43:G44"/>
    <mergeCell ref="H43:H44"/>
    <mergeCell ref="I43:I44"/>
    <mergeCell ref="J43:J44"/>
    <mergeCell ref="K43:K44"/>
    <mergeCell ref="L43:L44"/>
    <mergeCell ref="G34:G35"/>
    <mergeCell ref="F34:F35"/>
    <mergeCell ref="E34:E35"/>
    <mergeCell ref="L34:L35"/>
    <mergeCell ref="K34:K35"/>
    <mergeCell ref="J34:J35"/>
    <mergeCell ref="I34:I35"/>
    <mergeCell ref="H34:H35"/>
    <mergeCell ref="S52:S53"/>
    <mergeCell ref="M52:M53"/>
    <mergeCell ref="N52:N53"/>
    <mergeCell ref="O52:O53"/>
    <mergeCell ref="P52:P53"/>
    <mergeCell ref="Q52:Q53"/>
    <mergeCell ref="R52:R53"/>
    <mergeCell ref="S43:S44"/>
    <mergeCell ref="R43:R44"/>
    <mergeCell ref="P61:P62"/>
    <mergeCell ref="Q61:Q62"/>
    <mergeCell ref="J71:J72"/>
    <mergeCell ref="R80:R81"/>
    <mergeCell ref="S80:S81"/>
    <mergeCell ref="R61:R62"/>
    <mergeCell ref="S61:S62"/>
    <mergeCell ref="S71:S72"/>
    <mergeCell ref="O80:O81"/>
    <mergeCell ref="Q71:Q72"/>
    <mergeCell ref="R71:R72"/>
    <mergeCell ref="M71:M72"/>
    <mergeCell ref="N71:N72"/>
    <mergeCell ref="O71:O72"/>
    <mergeCell ref="P71:P72"/>
    <mergeCell ref="P80:P81"/>
    <mergeCell ref="Q80:Q81"/>
    <mergeCell ref="K80:K81"/>
    <mergeCell ref="K71:K72"/>
    <mergeCell ref="L71:L72"/>
    <mergeCell ref="E71:E72"/>
    <mergeCell ref="F71:F72"/>
    <mergeCell ref="G71:G72"/>
    <mergeCell ref="M61:M62"/>
    <mergeCell ref="N61:N62"/>
    <mergeCell ref="O61:O62"/>
    <mergeCell ref="P2:P3"/>
    <mergeCell ref="Q2:Q3"/>
    <mergeCell ref="L80:L81"/>
    <mergeCell ref="M80:M81"/>
    <mergeCell ref="N80:N81"/>
    <mergeCell ref="J2:J3"/>
    <mergeCell ref="K2:K3"/>
    <mergeCell ref="L2:L3"/>
    <mergeCell ref="E2:E3"/>
    <mergeCell ref="F2:F3"/>
    <mergeCell ref="G2:G3"/>
    <mergeCell ref="H2:H3"/>
    <mergeCell ref="I2:I3"/>
    <mergeCell ref="H71:H72"/>
    <mergeCell ref="I71:I72"/>
    <mergeCell ref="E52:E53"/>
    <mergeCell ref="F52:F53"/>
    <mergeCell ref="G52:G53"/>
    <mergeCell ref="R2:R3"/>
    <mergeCell ref="S2:S3"/>
    <mergeCell ref="M2:M3"/>
    <mergeCell ref="N2:N3"/>
    <mergeCell ref="O2:O3"/>
    <mergeCell ref="R18:R19"/>
    <mergeCell ref="S18:S19"/>
    <mergeCell ref="M18:M19"/>
    <mergeCell ref="N18:N19"/>
    <mergeCell ref="O18:O19"/>
    <mergeCell ref="P18:P19"/>
    <mergeCell ref="Q18:Q19"/>
    <mergeCell ref="Q10:Q11"/>
    <mergeCell ref="R10:R11"/>
    <mergeCell ref="S10:S11"/>
    <mergeCell ref="M10:M11"/>
    <mergeCell ref="N10:N11"/>
    <mergeCell ref="O10:O11"/>
    <mergeCell ref="P10:P11"/>
    <mergeCell ref="E61:E62"/>
    <mergeCell ref="F61:F62"/>
    <mergeCell ref="G61:G62"/>
    <mergeCell ref="H61:H62"/>
    <mergeCell ref="I61:I62"/>
    <mergeCell ref="J61:J62"/>
    <mergeCell ref="K61:K62"/>
    <mergeCell ref="L61:L62"/>
    <mergeCell ref="H52:H53"/>
    <mergeCell ref="I52:I53"/>
    <mergeCell ref="J52:J53"/>
    <mergeCell ref="K52:K53"/>
    <mergeCell ref="L52:L53"/>
    <mergeCell ref="I18:I19"/>
    <mergeCell ref="J18:J19"/>
    <mergeCell ref="K18:K19"/>
    <mergeCell ref="K10:K11"/>
    <mergeCell ref="L10:L11"/>
    <mergeCell ref="L18:L19"/>
    <mergeCell ref="E10:E11"/>
    <mergeCell ref="F10:F11"/>
    <mergeCell ref="G10:G11"/>
    <mergeCell ref="H10:H11"/>
    <mergeCell ref="I10:I11"/>
    <mergeCell ref="J10:J11"/>
    <mergeCell ref="E18:E19"/>
    <mergeCell ref="F18:F19"/>
    <mergeCell ref="G18:G19"/>
    <mergeCell ref="H18:H19"/>
    <mergeCell ref="B131:S132"/>
    <mergeCell ref="B128:S129"/>
    <mergeCell ref="B130:S130"/>
    <mergeCell ref="S26:S27"/>
    <mergeCell ref="M26:M27"/>
    <mergeCell ref="N26:N27"/>
    <mergeCell ref="O26:O27"/>
    <mergeCell ref="P26:P27"/>
    <mergeCell ref="Q26:Q27"/>
    <mergeCell ref="R26:R27"/>
    <mergeCell ref="E26:E27"/>
    <mergeCell ref="F26:F27"/>
    <mergeCell ref="G26:G27"/>
    <mergeCell ref="H26:H27"/>
    <mergeCell ref="I26:I27"/>
    <mergeCell ref="J26:J27"/>
    <mergeCell ref="K26:K27"/>
    <mergeCell ref="L26:L27"/>
    <mergeCell ref="E80:E81"/>
    <mergeCell ref="F80:F81"/>
    <mergeCell ref="G80:G81"/>
    <mergeCell ref="H80:H81"/>
    <mergeCell ref="I80:I81"/>
    <mergeCell ref="J80:J81"/>
  </mergeCells>
  <pageMargins left="0.39370078740157483" right="0.35433070866141736" top="0.78740157480314965" bottom="0.78740157480314965" header="0.39370078740157483" footer="0.39370078740157483"/>
  <pageSetup paperSize="9" scale="55" fitToHeight="0" orientation="landscape" r:id="rId1"/>
  <headerFooter alignWithMargins="0">
    <oddFooter>&amp;L&amp;A&amp;C&amp;D</oddFooter>
  </headerFooter>
  <ignoredErrors>
    <ignoredError sqref="E78:S81 E73"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List2">
    <pageSetUpPr fitToPage="1"/>
  </sheetPr>
  <dimension ref="A1:AI131"/>
  <sheetViews>
    <sheetView defaultGridColor="0" colorId="23" zoomScaleNormal="100" workbookViewId="0">
      <selection activeCell="H28" sqref="H28"/>
    </sheetView>
  </sheetViews>
  <sheetFormatPr defaultColWidth="9.140625" defaultRowHeight="11.25" x14ac:dyDescent="0.2"/>
  <cols>
    <col min="1" max="1" width="2.7109375" style="2" customWidth="1"/>
    <col min="2" max="2" width="5.7109375" style="2" customWidth="1"/>
    <col min="3" max="3" width="56.42578125" style="2" customWidth="1"/>
    <col min="4" max="4" width="13.85546875" style="2" customWidth="1"/>
    <col min="5" max="7" width="10.7109375" style="2" customWidth="1"/>
    <col min="8" max="8" width="11.5703125" style="2" customWidth="1"/>
    <col min="9" max="19" width="10.7109375" style="2" customWidth="1"/>
    <col min="20" max="29" width="10.85546875" style="2" customWidth="1"/>
    <col min="30" max="35" width="8.7109375" style="2" bestFit="1" customWidth="1"/>
    <col min="36" max="16384" width="9.140625" style="2"/>
  </cols>
  <sheetData>
    <row r="1" spans="1:35" ht="14.25" thickBot="1" x14ac:dyDescent="0.35">
      <c r="A1" s="12"/>
      <c r="B1" s="12"/>
      <c r="C1" s="12"/>
      <c r="D1" s="12"/>
      <c r="E1" s="102"/>
      <c r="F1" s="12"/>
      <c r="G1" s="12"/>
      <c r="H1" s="12"/>
      <c r="I1" s="12"/>
      <c r="J1" s="12"/>
      <c r="K1" s="12"/>
      <c r="L1" s="12"/>
      <c r="M1" s="12"/>
      <c r="N1" s="12"/>
      <c r="O1" s="12"/>
      <c r="P1" s="12"/>
      <c r="Q1" s="12"/>
      <c r="R1" s="12"/>
      <c r="S1" s="12"/>
      <c r="T1" s="1"/>
      <c r="U1" s="1"/>
      <c r="V1" s="1"/>
      <c r="W1" s="1"/>
      <c r="X1" s="1"/>
      <c r="Y1" s="1"/>
      <c r="Z1" s="1"/>
      <c r="AA1" s="1"/>
      <c r="AB1" s="1"/>
      <c r="AC1" s="1"/>
      <c r="AD1" s="1"/>
      <c r="AE1" s="1"/>
      <c r="AF1" s="1"/>
      <c r="AG1" s="1"/>
      <c r="AH1" s="1"/>
      <c r="AI1" s="1"/>
    </row>
    <row r="2" spans="1:35" ht="12.75" customHeight="1" x14ac:dyDescent="0.3">
      <c r="A2" s="12"/>
      <c r="B2" s="987" t="s">
        <v>27</v>
      </c>
      <c r="C2" s="15" t="str">
        <f>IF('0 Úvod'!$M$10="English",Slovnik!D414,Slovnik!C414)</f>
        <v>Celkové provozní příjmy (CZK)</v>
      </c>
      <c r="D2" s="16"/>
      <c r="E2" s="1955">
        <f>'0 Úvod'!G18</f>
        <v>2026</v>
      </c>
      <c r="F2" s="1957">
        <f t="shared" ref="F2:S2" si="0">E2+1</f>
        <v>2027</v>
      </c>
      <c r="G2" s="1957">
        <f t="shared" si="0"/>
        <v>2028</v>
      </c>
      <c r="H2" s="1957">
        <f t="shared" si="0"/>
        <v>2029</v>
      </c>
      <c r="I2" s="1957">
        <f t="shared" si="0"/>
        <v>2030</v>
      </c>
      <c r="J2" s="1957">
        <f t="shared" si="0"/>
        <v>2031</v>
      </c>
      <c r="K2" s="1957">
        <f t="shared" si="0"/>
        <v>2032</v>
      </c>
      <c r="L2" s="1957">
        <f t="shared" si="0"/>
        <v>2033</v>
      </c>
      <c r="M2" s="1957">
        <f t="shared" si="0"/>
        <v>2034</v>
      </c>
      <c r="N2" s="1957">
        <f t="shared" si="0"/>
        <v>2035</v>
      </c>
      <c r="O2" s="1957">
        <f t="shared" si="0"/>
        <v>2036</v>
      </c>
      <c r="P2" s="1957">
        <f t="shared" si="0"/>
        <v>2037</v>
      </c>
      <c r="Q2" s="1957">
        <f t="shared" si="0"/>
        <v>2038</v>
      </c>
      <c r="R2" s="1957">
        <f t="shared" si="0"/>
        <v>2039</v>
      </c>
      <c r="S2" s="1959">
        <f t="shared" si="0"/>
        <v>2040</v>
      </c>
      <c r="T2" s="117"/>
      <c r="U2" s="11"/>
      <c r="V2" s="11"/>
      <c r="W2" s="11"/>
      <c r="X2" s="11"/>
      <c r="Y2" s="11"/>
      <c r="Z2" s="11"/>
      <c r="AA2" s="11"/>
      <c r="AB2" s="11"/>
      <c r="AC2" s="11"/>
      <c r="AD2" s="1"/>
      <c r="AE2" s="1"/>
      <c r="AF2" s="1"/>
      <c r="AG2" s="1"/>
      <c r="AH2" s="1"/>
      <c r="AI2" s="1"/>
    </row>
    <row r="3" spans="1:35" ht="15" thickBot="1" x14ac:dyDescent="0.35">
      <c r="A3" s="12"/>
      <c r="B3" s="118" t="s">
        <v>4</v>
      </c>
      <c r="C3" s="119" t="str">
        <f>IF('0 Úvod'!$M$10="English",Slovnik!D410,Slovnik!C410)</f>
        <v>Scénář s projektem</v>
      </c>
      <c r="D3" s="120" t="str">
        <f>IF('0 Úvod'!$M$10="English",Slovnik!$D$415,Slovnik!$C$415)</f>
        <v>Celkem</v>
      </c>
      <c r="E3" s="1956"/>
      <c r="F3" s="1958"/>
      <c r="G3" s="1958"/>
      <c r="H3" s="1958"/>
      <c r="I3" s="1958"/>
      <c r="J3" s="1958"/>
      <c r="K3" s="1958"/>
      <c r="L3" s="1958"/>
      <c r="M3" s="1958"/>
      <c r="N3" s="1958"/>
      <c r="O3" s="1958"/>
      <c r="P3" s="1958"/>
      <c r="Q3" s="1958"/>
      <c r="R3" s="1958"/>
      <c r="S3" s="1960"/>
      <c r="T3" s="117"/>
      <c r="U3" s="11"/>
      <c r="V3" s="11"/>
      <c r="W3" s="11"/>
      <c r="X3" s="11"/>
      <c r="Y3" s="11"/>
      <c r="Z3" s="11"/>
      <c r="AA3" s="11"/>
      <c r="AB3" s="11"/>
      <c r="AC3" s="11"/>
      <c r="AD3" s="1"/>
      <c r="AE3" s="1"/>
      <c r="AF3" s="1"/>
      <c r="AG3" s="1"/>
      <c r="AH3" s="1"/>
      <c r="AI3" s="1"/>
    </row>
    <row r="4" spans="1:35" ht="14.25" x14ac:dyDescent="0.3">
      <c r="A4" s="12"/>
      <c r="B4" s="988"/>
      <c r="C4" s="655" t="s">
        <v>1416</v>
      </c>
      <c r="D4" s="183">
        <f>SUM(E4:S4,E11:S11)</f>
        <v>0</v>
      </c>
      <c r="E4" s="114"/>
      <c r="F4" s="114"/>
      <c r="G4" s="114"/>
      <c r="H4" s="114"/>
      <c r="I4" s="114"/>
      <c r="J4" s="114"/>
      <c r="K4" s="114"/>
      <c r="L4" s="114"/>
      <c r="M4" s="114"/>
      <c r="N4" s="114"/>
      <c r="O4" s="114"/>
      <c r="P4" s="114"/>
      <c r="Q4" s="114"/>
      <c r="R4" s="114"/>
      <c r="S4" s="114"/>
      <c r="T4" s="489"/>
      <c r="U4" s="7"/>
      <c r="V4" s="7"/>
      <c r="W4" s="7"/>
      <c r="X4" s="7"/>
      <c r="Y4" s="7"/>
      <c r="Z4" s="7"/>
      <c r="AA4" s="7"/>
      <c r="AB4" s="7"/>
      <c r="AC4" s="7"/>
      <c r="AD4" s="1"/>
      <c r="AE4" s="1"/>
      <c r="AF4" s="1"/>
      <c r="AG4" s="1"/>
      <c r="AH4" s="1"/>
      <c r="AI4" s="1"/>
    </row>
    <row r="5" spans="1:35" ht="14.25" hidden="1" x14ac:dyDescent="0.3">
      <c r="A5" s="12"/>
      <c r="B5" s="988"/>
      <c r="C5" s="655" t="str">
        <f>IF('0 Úvod'!$M$10="English",Slovnik!D412,Slovnik!C412)</f>
        <v>Provozní příjmy - nákladní doprava</v>
      </c>
      <c r="D5" s="182">
        <f>SUM(E5:S5,E12:S12)</f>
        <v>0</v>
      </c>
      <c r="E5" s="114"/>
      <c r="F5" s="114"/>
      <c r="G5" s="114"/>
      <c r="H5" s="114"/>
      <c r="I5" s="114"/>
      <c r="J5" s="114"/>
      <c r="K5" s="114"/>
      <c r="L5" s="114"/>
      <c r="M5" s="114"/>
      <c r="N5" s="114"/>
      <c r="O5" s="114"/>
      <c r="P5" s="114"/>
      <c r="Q5" s="114"/>
      <c r="R5" s="114"/>
      <c r="S5" s="114"/>
      <c r="T5" s="489"/>
      <c r="U5" s="7"/>
      <c r="V5" s="7"/>
      <c r="W5" s="7"/>
      <c r="X5" s="7"/>
      <c r="Y5" s="7"/>
      <c r="Z5" s="7"/>
      <c r="AA5" s="7"/>
      <c r="AB5" s="7"/>
      <c r="AC5" s="7"/>
      <c r="AD5" s="1"/>
      <c r="AE5" s="1"/>
      <c r="AF5" s="1"/>
      <c r="AG5" s="1"/>
      <c r="AH5" s="1"/>
      <c r="AI5" s="1"/>
    </row>
    <row r="6" spans="1:35" ht="14.25" x14ac:dyDescent="0.3">
      <c r="A6" s="12"/>
      <c r="B6" s="988"/>
      <c r="C6" s="989" t="s">
        <v>1417</v>
      </c>
      <c r="D6" s="990">
        <f>SUM(E6:S6,E13:S13)</f>
        <v>0</v>
      </c>
      <c r="E6" s="14"/>
      <c r="F6" s="14"/>
      <c r="G6" s="14"/>
      <c r="H6" s="14"/>
      <c r="I6" s="14"/>
      <c r="J6" s="14"/>
      <c r="K6" s="14"/>
      <c r="L6" s="14"/>
      <c r="M6" s="14"/>
      <c r="N6" s="14"/>
      <c r="O6" s="14"/>
      <c r="P6" s="14"/>
      <c r="Q6" s="14"/>
      <c r="R6" s="14"/>
      <c r="S6" s="14"/>
      <c r="T6" s="489"/>
      <c r="U6" s="7"/>
      <c r="V6" s="7"/>
      <c r="W6" s="7"/>
      <c r="X6" s="7"/>
      <c r="Y6" s="7"/>
      <c r="Z6" s="7"/>
      <c r="AA6" s="7"/>
      <c r="AB6" s="7"/>
      <c r="AC6" s="7"/>
      <c r="AD6" s="1"/>
      <c r="AE6" s="1"/>
      <c r="AF6" s="1"/>
      <c r="AG6" s="1"/>
      <c r="AH6" s="1"/>
      <c r="AI6" s="1"/>
    </row>
    <row r="7" spans="1:35" ht="15" thickBot="1" x14ac:dyDescent="0.35">
      <c r="A7" s="12"/>
      <c r="B7" s="991"/>
      <c r="C7" s="992" t="str">
        <f>IF('0 Úvod'!$M$10="English",Slovnik!D414,Slovnik!C414)</f>
        <v>Celkové provozní příjmy (CZK)</v>
      </c>
      <c r="D7" s="993">
        <f>SUM(E7:S7,E14:S14)</f>
        <v>0</v>
      </c>
      <c r="E7" s="994">
        <f>SUM(E4:E6)</f>
        <v>0</v>
      </c>
      <c r="F7" s="995">
        <f t="shared" ref="F7:S7" si="1">SUM(F4:F6)</f>
        <v>0</v>
      </c>
      <c r="G7" s="995">
        <f t="shared" si="1"/>
        <v>0</v>
      </c>
      <c r="H7" s="995">
        <f>SUM(H4:H6)</f>
        <v>0</v>
      </c>
      <c r="I7" s="995">
        <f t="shared" si="1"/>
        <v>0</v>
      </c>
      <c r="J7" s="995">
        <f t="shared" si="1"/>
        <v>0</v>
      </c>
      <c r="K7" s="995">
        <f t="shared" si="1"/>
        <v>0</v>
      </c>
      <c r="L7" s="995">
        <f t="shared" si="1"/>
        <v>0</v>
      </c>
      <c r="M7" s="995">
        <f t="shared" si="1"/>
        <v>0</v>
      </c>
      <c r="N7" s="995">
        <f t="shared" si="1"/>
        <v>0</v>
      </c>
      <c r="O7" s="995">
        <f t="shared" si="1"/>
        <v>0</v>
      </c>
      <c r="P7" s="995">
        <f t="shared" si="1"/>
        <v>0</v>
      </c>
      <c r="Q7" s="995">
        <f t="shared" si="1"/>
        <v>0</v>
      </c>
      <c r="R7" s="995">
        <f t="shared" si="1"/>
        <v>0</v>
      </c>
      <c r="S7" s="996">
        <f t="shared" si="1"/>
        <v>0</v>
      </c>
      <c r="T7" s="6"/>
      <c r="U7" s="3"/>
      <c r="V7" s="3"/>
      <c r="W7" s="3"/>
      <c r="X7" s="3"/>
      <c r="Y7" s="3"/>
      <c r="Z7" s="3"/>
      <c r="AA7" s="3"/>
      <c r="AB7" s="3"/>
      <c r="AC7" s="3"/>
      <c r="AD7" s="1"/>
      <c r="AE7" s="1"/>
      <c r="AF7" s="1"/>
      <c r="AG7" s="1"/>
      <c r="AH7" s="1"/>
      <c r="AI7" s="1"/>
    </row>
    <row r="8" spans="1:35" ht="14.25" thickBot="1" x14ac:dyDescent="0.35">
      <c r="A8" s="12"/>
      <c r="B8" s="845"/>
      <c r="C8" s="17"/>
      <c r="D8" s="997"/>
      <c r="E8" s="846"/>
      <c r="F8" s="846"/>
      <c r="G8" s="846"/>
      <c r="H8" s="846"/>
      <c r="I8" s="846"/>
      <c r="J8" s="846"/>
      <c r="K8" s="846"/>
      <c r="L8" s="846"/>
      <c r="M8" s="846"/>
      <c r="N8" s="846"/>
      <c r="O8" s="846"/>
      <c r="P8" s="846"/>
      <c r="Q8" s="846"/>
      <c r="R8" s="846"/>
      <c r="S8" s="846"/>
      <c r="T8" s="5"/>
      <c r="U8" s="7"/>
      <c r="V8" s="7"/>
      <c r="W8" s="7"/>
      <c r="X8" s="7"/>
      <c r="Y8" s="7"/>
      <c r="Z8" s="7"/>
      <c r="AA8" s="7"/>
      <c r="AB8" s="7"/>
      <c r="AC8" s="7"/>
      <c r="AD8" s="1"/>
      <c r="AE8" s="1"/>
      <c r="AF8" s="1"/>
      <c r="AG8" s="1"/>
      <c r="AH8" s="1"/>
      <c r="AI8" s="1"/>
    </row>
    <row r="9" spans="1:35" ht="14.25" x14ac:dyDescent="0.3">
      <c r="A9" s="12"/>
      <c r="B9" s="987" t="str">
        <f>B2</f>
        <v>6.1.</v>
      </c>
      <c r="C9" s="15" t="str">
        <f t="shared" ref="C9:C14" si="2">C2</f>
        <v>Celkové provozní příjmy (CZK)</v>
      </c>
      <c r="D9" s="16"/>
      <c r="E9" s="1955">
        <f>S2+1</f>
        <v>2041</v>
      </c>
      <c r="F9" s="1957">
        <f t="shared" ref="F9:S9" si="3">E9+1</f>
        <v>2042</v>
      </c>
      <c r="G9" s="1957">
        <f t="shared" si="3"/>
        <v>2043</v>
      </c>
      <c r="H9" s="1957">
        <f t="shared" si="3"/>
        <v>2044</v>
      </c>
      <c r="I9" s="1957">
        <f t="shared" si="3"/>
        <v>2045</v>
      </c>
      <c r="J9" s="1957">
        <f t="shared" si="3"/>
        <v>2046</v>
      </c>
      <c r="K9" s="1957">
        <f t="shared" si="3"/>
        <v>2047</v>
      </c>
      <c r="L9" s="1957">
        <f t="shared" si="3"/>
        <v>2048</v>
      </c>
      <c r="M9" s="1957">
        <f t="shared" si="3"/>
        <v>2049</v>
      </c>
      <c r="N9" s="1957">
        <f t="shared" si="3"/>
        <v>2050</v>
      </c>
      <c r="O9" s="1957">
        <f t="shared" si="3"/>
        <v>2051</v>
      </c>
      <c r="P9" s="1957">
        <f t="shared" si="3"/>
        <v>2052</v>
      </c>
      <c r="Q9" s="1957">
        <f t="shared" si="3"/>
        <v>2053</v>
      </c>
      <c r="R9" s="1957">
        <f t="shared" si="3"/>
        <v>2054</v>
      </c>
      <c r="S9" s="1959">
        <f t="shared" si="3"/>
        <v>2055</v>
      </c>
      <c r="T9" s="117"/>
      <c r="U9" s="11"/>
      <c r="V9" s="11"/>
      <c r="W9" s="11"/>
      <c r="X9" s="11"/>
      <c r="Y9" s="11"/>
      <c r="Z9" s="11"/>
      <c r="AA9" s="11"/>
      <c r="AB9" s="11"/>
      <c r="AC9" s="11"/>
      <c r="AD9" s="1"/>
      <c r="AE9" s="1"/>
      <c r="AF9" s="1"/>
      <c r="AG9" s="1"/>
      <c r="AH9" s="1"/>
      <c r="AI9" s="1"/>
    </row>
    <row r="10" spans="1:35" ht="15" thickBot="1" x14ac:dyDescent="0.35">
      <c r="A10" s="12"/>
      <c r="B10" s="118" t="s">
        <v>5</v>
      </c>
      <c r="C10" s="119" t="str">
        <f t="shared" si="2"/>
        <v>Scénář s projektem</v>
      </c>
      <c r="D10" s="122"/>
      <c r="E10" s="1956"/>
      <c r="F10" s="1958"/>
      <c r="G10" s="1958"/>
      <c r="H10" s="1958"/>
      <c r="I10" s="1958"/>
      <c r="J10" s="1958"/>
      <c r="K10" s="1958"/>
      <c r="L10" s="1958"/>
      <c r="M10" s="1958"/>
      <c r="N10" s="1958"/>
      <c r="O10" s="1958"/>
      <c r="P10" s="1958"/>
      <c r="Q10" s="1958"/>
      <c r="R10" s="1958"/>
      <c r="S10" s="1960"/>
      <c r="T10" s="117"/>
      <c r="U10" s="11"/>
      <c r="V10" s="11"/>
      <c r="W10" s="11"/>
      <c r="X10" s="11"/>
      <c r="Y10" s="11"/>
      <c r="Z10" s="11"/>
      <c r="AA10" s="11"/>
      <c r="AB10" s="11"/>
      <c r="AC10" s="11"/>
      <c r="AD10" s="1"/>
      <c r="AE10" s="1"/>
      <c r="AF10" s="1"/>
      <c r="AG10" s="1"/>
      <c r="AH10" s="1"/>
      <c r="AI10" s="1"/>
    </row>
    <row r="11" spans="1:35" ht="14.25" x14ac:dyDescent="0.3">
      <c r="A11" s="12"/>
      <c r="B11" s="998"/>
      <c r="C11" s="658" t="str">
        <f t="shared" si="2"/>
        <v>Tržby z jízdného</v>
      </c>
      <c r="D11" s="488"/>
      <c r="E11" s="114"/>
      <c r="F11" s="114"/>
      <c r="G11" s="114"/>
      <c r="H11" s="114"/>
      <c r="I11" s="114"/>
      <c r="J11" s="114"/>
      <c r="K11" s="114"/>
      <c r="L11" s="114"/>
      <c r="M11" s="114"/>
      <c r="N11" s="114"/>
      <c r="O11" s="114"/>
      <c r="P11" s="114"/>
      <c r="Q11" s="114"/>
      <c r="R11" s="114"/>
      <c r="S11" s="114"/>
      <c r="T11" s="489"/>
      <c r="U11" s="7"/>
      <c r="V11" s="7"/>
      <c r="W11" s="7"/>
      <c r="X11" s="7"/>
      <c r="Y11" s="7"/>
      <c r="Z11" s="7"/>
      <c r="AA11" s="7"/>
      <c r="AB11" s="7"/>
      <c r="AC11" s="7"/>
      <c r="AD11" s="1"/>
      <c r="AE11" s="1"/>
      <c r="AF11" s="1"/>
      <c r="AG11" s="1"/>
      <c r="AH11" s="1"/>
      <c r="AI11" s="1"/>
    </row>
    <row r="12" spans="1:35" ht="14.25" hidden="1" x14ac:dyDescent="0.3">
      <c r="A12" s="12"/>
      <c r="B12" s="998"/>
      <c r="C12" s="658" t="str">
        <f t="shared" si="2"/>
        <v>Provozní příjmy - nákladní doprava</v>
      </c>
      <c r="D12" s="121"/>
      <c r="E12" s="114"/>
      <c r="F12" s="114"/>
      <c r="G12" s="114"/>
      <c r="H12" s="114"/>
      <c r="I12" s="114"/>
      <c r="J12" s="114"/>
      <c r="K12" s="114"/>
      <c r="L12" s="114"/>
      <c r="M12" s="114"/>
      <c r="N12" s="114"/>
      <c r="O12" s="114"/>
      <c r="P12" s="114"/>
      <c r="Q12" s="114"/>
      <c r="R12" s="114"/>
      <c r="S12" s="114"/>
      <c r="T12" s="489"/>
      <c r="U12" s="7"/>
      <c r="V12" s="7"/>
      <c r="W12" s="7"/>
      <c r="X12" s="7"/>
      <c r="Y12" s="7"/>
      <c r="Z12" s="7"/>
      <c r="AA12" s="7"/>
      <c r="AB12" s="7"/>
      <c r="AC12" s="7"/>
      <c r="AD12" s="1"/>
      <c r="AE12" s="1"/>
      <c r="AF12" s="1"/>
      <c r="AG12" s="1"/>
      <c r="AH12" s="1"/>
      <c r="AI12" s="1"/>
    </row>
    <row r="13" spans="1:35" ht="14.25" x14ac:dyDescent="0.3">
      <c r="A13" s="12"/>
      <c r="B13" s="998"/>
      <c r="C13" s="989" t="str">
        <f t="shared" si="2"/>
        <v xml:space="preserve">Ostatní tržby z přepravy, pronájmy, apod. </v>
      </c>
      <c r="D13" s="999"/>
      <c r="E13" s="14"/>
      <c r="F13" s="14"/>
      <c r="G13" s="14"/>
      <c r="H13" s="14"/>
      <c r="I13" s="14"/>
      <c r="J13" s="14"/>
      <c r="K13" s="14"/>
      <c r="L13" s="14"/>
      <c r="M13" s="14"/>
      <c r="N13" s="14"/>
      <c r="O13" s="14"/>
      <c r="P13" s="14"/>
      <c r="Q13" s="14"/>
      <c r="R13" s="14"/>
      <c r="S13" s="14"/>
      <c r="T13" s="489"/>
      <c r="U13" s="7"/>
      <c r="V13" s="7"/>
      <c r="W13" s="7"/>
      <c r="X13" s="7"/>
      <c r="Y13" s="7"/>
      <c r="Z13" s="7"/>
      <c r="AA13" s="7"/>
      <c r="AB13" s="7"/>
      <c r="AC13" s="7"/>
      <c r="AD13" s="1"/>
      <c r="AE13" s="1"/>
      <c r="AF13" s="1"/>
      <c r="AG13" s="1"/>
      <c r="AH13" s="1"/>
      <c r="AI13" s="1"/>
    </row>
    <row r="14" spans="1:35" ht="15" thickBot="1" x14ac:dyDescent="0.35">
      <c r="A14" s="13"/>
      <c r="B14" s="991"/>
      <c r="C14" s="992" t="str">
        <f t="shared" si="2"/>
        <v>Celkové provozní příjmy (CZK)</v>
      </c>
      <c r="D14" s="1000"/>
      <c r="E14" s="994">
        <f t="shared" ref="E14:S14" si="4">SUM(E11:E13)</f>
        <v>0</v>
      </c>
      <c r="F14" s="995">
        <f t="shared" si="4"/>
        <v>0</v>
      </c>
      <c r="G14" s="995">
        <f t="shared" si="4"/>
        <v>0</v>
      </c>
      <c r="H14" s="995">
        <f t="shared" si="4"/>
        <v>0</v>
      </c>
      <c r="I14" s="995">
        <f t="shared" si="4"/>
        <v>0</v>
      </c>
      <c r="J14" s="995">
        <f t="shared" si="4"/>
        <v>0</v>
      </c>
      <c r="K14" s="995">
        <f t="shared" si="4"/>
        <v>0</v>
      </c>
      <c r="L14" s="995">
        <f t="shared" si="4"/>
        <v>0</v>
      </c>
      <c r="M14" s="995">
        <f t="shared" si="4"/>
        <v>0</v>
      </c>
      <c r="N14" s="995">
        <f t="shared" si="4"/>
        <v>0</v>
      </c>
      <c r="O14" s="995">
        <f t="shared" si="4"/>
        <v>0</v>
      </c>
      <c r="P14" s="995">
        <f t="shared" si="4"/>
        <v>0</v>
      </c>
      <c r="Q14" s="995">
        <f t="shared" si="4"/>
        <v>0</v>
      </c>
      <c r="R14" s="995">
        <f t="shared" si="4"/>
        <v>0</v>
      </c>
      <c r="S14" s="996">
        <f t="shared" si="4"/>
        <v>0</v>
      </c>
      <c r="T14" s="6"/>
      <c r="U14" s="3"/>
      <c r="V14" s="3"/>
      <c r="W14" s="3"/>
      <c r="X14" s="3"/>
      <c r="Y14" s="3"/>
      <c r="Z14" s="3"/>
      <c r="AA14" s="3"/>
      <c r="AB14" s="3"/>
      <c r="AC14" s="3"/>
      <c r="AD14" s="1"/>
      <c r="AE14" s="1"/>
      <c r="AF14" s="1"/>
      <c r="AG14" s="1"/>
      <c r="AH14" s="1"/>
      <c r="AI14" s="1"/>
    </row>
    <row r="15" spans="1:35" ht="15" thickBot="1" x14ac:dyDescent="0.35">
      <c r="A15" s="13"/>
      <c r="B15" s="901"/>
      <c r="C15" s="902"/>
      <c r="D15" s="903"/>
      <c r="E15" s="881"/>
      <c r="F15" s="881"/>
      <c r="G15" s="881"/>
      <c r="H15" s="881"/>
      <c r="I15" s="881"/>
      <c r="J15" s="881"/>
      <c r="K15" s="881"/>
      <c r="L15" s="881"/>
      <c r="M15" s="881"/>
      <c r="N15" s="881"/>
      <c r="O15" s="881"/>
      <c r="P15" s="881"/>
      <c r="Q15" s="881"/>
      <c r="R15" s="881"/>
      <c r="S15" s="881"/>
      <c r="T15" s="6"/>
      <c r="U15" s="3"/>
      <c r="V15" s="3"/>
      <c r="W15" s="3"/>
      <c r="X15" s="3"/>
      <c r="Y15" s="3"/>
      <c r="Z15" s="3"/>
      <c r="AA15" s="3"/>
      <c r="AB15" s="3"/>
      <c r="AC15" s="3"/>
      <c r="AD15" s="1"/>
      <c r="AE15" s="1"/>
      <c r="AF15" s="1"/>
      <c r="AG15" s="1"/>
      <c r="AH15" s="1"/>
      <c r="AI15" s="1"/>
    </row>
    <row r="16" spans="1:35" ht="14.25" x14ac:dyDescent="0.3">
      <c r="A16" s="12"/>
      <c r="B16" s="1001" t="s">
        <v>28</v>
      </c>
      <c r="C16" s="124" t="str">
        <f>C9</f>
        <v>Celkové provozní příjmy (CZK)</v>
      </c>
      <c r="D16" s="125"/>
      <c r="E16" s="1963">
        <f>E2</f>
        <v>2026</v>
      </c>
      <c r="F16" s="1945">
        <f t="shared" ref="F16:S16" si="5">E16+1</f>
        <v>2027</v>
      </c>
      <c r="G16" s="1945">
        <f t="shared" si="5"/>
        <v>2028</v>
      </c>
      <c r="H16" s="1945">
        <f t="shared" si="5"/>
        <v>2029</v>
      </c>
      <c r="I16" s="1945">
        <f t="shared" si="5"/>
        <v>2030</v>
      </c>
      <c r="J16" s="1945">
        <f t="shared" si="5"/>
        <v>2031</v>
      </c>
      <c r="K16" s="1945">
        <f t="shared" si="5"/>
        <v>2032</v>
      </c>
      <c r="L16" s="1945">
        <f t="shared" si="5"/>
        <v>2033</v>
      </c>
      <c r="M16" s="1945">
        <f t="shared" si="5"/>
        <v>2034</v>
      </c>
      <c r="N16" s="1945">
        <f t="shared" si="5"/>
        <v>2035</v>
      </c>
      <c r="O16" s="1945">
        <f t="shared" si="5"/>
        <v>2036</v>
      </c>
      <c r="P16" s="1945">
        <f t="shared" si="5"/>
        <v>2037</v>
      </c>
      <c r="Q16" s="1945">
        <f t="shared" si="5"/>
        <v>2038</v>
      </c>
      <c r="R16" s="1945">
        <f t="shared" si="5"/>
        <v>2039</v>
      </c>
      <c r="S16" s="1967">
        <f t="shared" si="5"/>
        <v>2040</v>
      </c>
      <c r="T16" s="117"/>
      <c r="U16" s="11"/>
      <c r="V16" s="11"/>
      <c r="W16" s="11"/>
      <c r="X16" s="11"/>
      <c r="Y16" s="11"/>
      <c r="Z16" s="11"/>
      <c r="AA16" s="11"/>
      <c r="AB16" s="11"/>
      <c r="AC16" s="11"/>
      <c r="AD16" s="1"/>
      <c r="AE16" s="1"/>
      <c r="AF16" s="1"/>
      <c r="AG16" s="1"/>
      <c r="AH16" s="1"/>
      <c r="AI16" s="1"/>
    </row>
    <row r="17" spans="1:35" ht="15" thickBot="1" x14ac:dyDescent="0.35">
      <c r="A17" s="12"/>
      <c r="B17" s="123" t="s">
        <v>4</v>
      </c>
      <c r="C17" s="1002" t="str">
        <f>IF('0 Úvod'!$M$10="English",Slovnik!$D$416,Slovnik!$C$416)</f>
        <v>Scénář bez projektu</v>
      </c>
      <c r="D17" s="1003" t="str">
        <f>D3</f>
        <v>Celkem</v>
      </c>
      <c r="E17" s="1964"/>
      <c r="F17" s="1946"/>
      <c r="G17" s="1946"/>
      <c r="H17" s="1946"/>
      <c r="I17" s="1946"/>
      <c r="J17" s="1946"/>
      <c r="K17" s="1946"/>
      <c r="L17" s="1946"/>
      <c r="M17" s="1946"/>
      <c r="N17" s="1946"/>
      <c r="O17" s="1946"/>
      <c r="P17" s="1946"/>
      <c r="Q17" s="1946"/>
      <c r="R17" s="1946"/>
      <c r="S17" s="1968"/>
      <c r="T17" s="117"/>
      <c r="U17" s="11"/>
      <c r="V17" s="11"/>
      <c r="W17" s="11"/>
      <c r="X17" s="11"/>
      <c r="Y17" s="11"/>
      <c r="Z17" s="11"/>
      <c r="AA17" s="11"/>
      <c r="AB17" s="11"/>
      <c r="AC17" s="11"/>
      <c r="AD17" s="1"/>
      <c r="AE17" s="1"/>
      <c r="AF17" s="1"/>
      <c r="AG17" s="1"/>
      <c r="AH17" s="1"/>
      <c r="AI17" s="1"/>
    </row>
    <row r="18" spans="1:35" ht="14.25" x14ac:dyDescent="0.3">
      <c r="A18" s="12"/>
      <c r="B18" s="988"/>
      <c r="C18" s="658" t="str">
        <f>C11</f>
        <v>Tržby z jízdného</v>
      </c>
      <c r="D18" s="183">
        <f>SUM(E18:S18,E25:S25)</f>
        <v>0</v>
      </c>
      <c r="E18" s="114"/>
      <c r="F18" s="114"/>
      <c r="G18" s="114"/>
      <c r="H18" s="114"/>
      <c r="I18" s="114"/>
      <c r="J18" s="114"/>
      <c r="K18" s="114"/>
      <c r="L18" s="114"/>
      <c r="M18" s="114"/>
      <c r="N18" s="114"/>
      <c r="O18" s="114"/>
      <c r="P18" s="114"/>
      <c r="Q18" s="114"/>
      <c r="R18" s="114"/>
      <c r="S18" s="114"/>
      <c r="T18" s="489"/>
      <c r="U18" s="7"/>
      <c r="V18" s="7"/>
      <c r="W18" s="7"/>
      <c r="X18" s="7"/>
      <c r="Y18" s="7"/>
      <c r="Z18" s="7"/>
      <c r="AA18" s="7"/>
      <c r="AB18" s="7"/>
      <c r="AC18" s="7"/>
      <c r="AD18" s="1"/>
      <c r="AE18" s="1"/>
      <c r="AF18" s="1"/>
      <c r="AG18" s="1"/>
      <c r="AH18" s="1"/>
      <c r="AI18" s="1"/>
    </row>
    <row r="19" spans="1:35" ht="14.25" hidden="1" x14ac:dyDescent="0.3">
      <c r="A19" s="12"/>
      <c r="B19" s="988"/>
      <c r="C19" s="658" t="str">
        <f>C12</f>
        <v>Provozní příjmy - nákladní doprava</v>
      </c>
      <c r="D19" s="182">
        <f>SUM(E19:S19,E26:S26)</f>
        <v>0</v>
      </c>
      <c r="E19" s="114"/>
      <c r="F19" s="114"/>
      <c r="G19" s="114"/>
      <c r="H19" s="114"/>
      <c r="I19" s="114"/>
      <c r="J19" s="114"/>
      <c r="K19" s="114"/>
      <c r="L19" s="114"/>
      <c r="M19" s="114"/>
      <c r="N19" s="114"/>
      <c r="O19" s="114"/>
      <c r="P19" s="114"/>
      <c r="Q19" s="114"/>
      <c r="R19" s="114"/>
      <c r="S19" s="114"/>
      <c r="T19" s="489"/>
      <c r="U19" s="7"/>
      <c r="V19" s="7"/>
      <c r="W19" s="7"/>
      <c r="X19" s="7"/>
      <c r="Y19" s="7"/>
      <c r="Z19" s="7"/>
      <c r="AA19" s="7"/>
      <c r="AB19" s="7"/>
      <c r="AC19" s="7"/>
      <c r="AD19" s="1"/>
      <c r="AE19" s="1"/>
      <c r="AF19" s="1"/>
      <c r="AG19" s="1"/>
      <c r="AH19" s="1"/>
      <c r="AI19" s="1"/>
    </row>
    <row r="20" spans="1:35" ht="14.25" x14ac:dyDescent="0.3">
      <c r="A20" s="12"/>
      <c r="B20" s="988"/>
      <c r="C20" s="989" t="str">
        <f>C13</f>
        <v xml:space="preserve">Ostatní tržby z přepravy, pronájmy, apod. </v>
      </c>
      <c r="D20" s="990">
        <f>SUM(E20:S20,E27:S27)</f>
        <v>0</v>
      </c>
      <c r="E20" s="14"/>
      <c r="F20" s="14"/>
      <c r="G20" s="14"/>
      <c r="H20" s="14"/>
      <c r="I20" s="14"/>
      <c r="J20" s="14"/>
      <c r="K20" s="14"/>
      <c r="L20" s="14"/>
      <c r="M20" s="14"/>
      <c r="N20" s="14"/>
      <c r="O20" s="14"/>
      <c r="P20" s="14"/>
      <c r="Q20" s="14"/>
      <c r="R20" s="14"/>
      <c r="S20" s="14"/>
      <c r="T20" s="489"/>
      <c r="U20" s="7"/>
      <c r="V20" s="7"/>
      <c r="W20" s="7"/>
      <c r="X20" s="7"/>
      <c r="Y20" s="7"/>
      <c r="Z20" s="7"/>
      <c r="AA20" s="7"/>
      <c r="AB20" s="7"/>
      <c r="AC20" s="7"/>
      <c r="AD20" s="1"/>
      <c r="AE20" s="1"/>
      <c r="AF20" s="1"/>
      <c r="AG20" s="1"/>
      <c r="AH20" s="1"/>
      <c r="AI20" s="1"/>
    </row>
    <row r="21" spans="1:35" ht="15" thickBot="1" x14ac:dyDescent="0.35">
      <c r="A21" s="12"/>
      <c r="B21" s="1004"/>
      <c r="C21" s="1005" t="str">
        <f>C14</f>
        <v>Celkové provozní příjmy (CZK)</v>
      </c>
      <c r="D21" s="1006">
        <f>SUM(E21:S21,E28:S28)</f>
        <v>0</v>
      </c>
      <c r="E21" s="1007">
        <f t="shared" ref="E21:S21" si="6">SUM(E18:E20)</f>
        <v>0</v>
      </c>
      <c r="F21" s="1008">
        <f t="shared" si="6"/>
        <v>0</v>
      </c>
      <c r="G21" s="1008">
        <f t="shared" si="6"/>
        <v>0</v>
      </c>
      <c r="H21" s="1008">
        <f t="shared" si="6"/>
        <v>0</v>
      </c>
      <c r="I21" s="1008">
        <f t="shared" si="6"/>
        <v>0</v>
      </c>
      <c r="J21" s="1008">
        <f t="shared" si="6"/>
        <v>0</v>
      </c>
      <c r="K21" s="1008">
        <f t="shared" si="6"/>
        <v>0</v>
      </c>
      <c r="L21" s="1008">
        <f t="shared" si="6"/>
        <v>0</v>
      </c>
      <c r="M21" s="1008">
        <f t="shared" si="6"/>
        <v>0</v>
      </c>
      <c r="N21" s="1008">
        <f t="shared" si="6"/>
        <v>0</v>
      </c>
      <c r="O21" s="1008">
        <f t="shared" si="6"/>
        <v>0</v>
      </c>
      <c r="P21" s="1008">
        <f t="shared" si="6"/>
        <v>0</v>
      </c>
      <c r="Q21" s="1008">
        <f t="shared" si="6"/>
        <v>0</v>
      </c>
      <c r="R21" s="1008">
        <f t="shared" si="6"/>
        <v>0</v>
      </c>
      <c r="S21" s="1009">
        <f t="shared" si="6"/>
        <v>0</v>
      </c>
      <c r="T21" s="6"/>
      <c r="U21" s="3"/>
      <c r="V21" s="3"/>
      <c r="W21" s="3"/>
      <c r="X21" s="3"/>
      <c r="Y21" s="3"/>
      <c r="Z21" s="3"/>
      <c r="AA21" s="3"/>
      <c r="AB21" s="3"/>
      <c r="AC21" s="3"/>
      <c r="AD21" s="1"/>
      <c r="AE21" s="1"/>
      <c r="AF21" s="1"/>
      <c r="AG21" s="1"/>
      <c r="AH21" s="1"/>
      <c r="AI21" s="1"/>
    </row>
    <row r="22" spans="1:35" ht="14.25" thickBot="1" x14ac:dyDescent="0.35">
      <c r="A22" s="12"/>
      <c r="B22" s="845"/>
      <c r="C22" s="17"/>
      <c r="D22" s="997"/>
      <c r="E22" s="846"/>
      <c r="F22" s="846"/>
      <c r="G22" s="846"/>
      <c r="H22" s="846"/>
      <c r="I22" s="846"/>
      <c r="J22" s="846"/>
      <c r="K22" s="846"/>
      <c r="L22" s="846"/>
      <c r="M22" s="846"/>
      <c r="N22" s="846"/>
      <c r="O22" s="846"/>
      <c r="P22" s="846"/>
      <c r="Q22" s="846"/>
      <c r="R22" s="846"/>
      <c r="S22" s="846"/>
      <c r="T22" s="5"/>
      <c r="U22" s="7"/>
      <c r="V22" s="7"/>
      <c r="W22" s="7"/>
      <c r="X22" s="7"/>
      <c r="Y22" s="7"/>
      <c r="Z22" s="7"/>
      <c r="AA22" s="7"/>
      <c r="AB22" s="7"/>
      <c r="AC22" s="7"/>
      <c r="AD22" s="1"/>
      <c r="AE22" s="1"/>
      <c r="AF22" s="1"/>
      <c r="AG22" s="1"/>
      <c r="AH22" s="1"/>
      <c r="AI22" s="1"/>
    </row>
    <row r="23" spans="1:35" ht="14.25" x14ac:dyDescent="0.3">
      <c r="A23" s="12"/>
      <c r="B23" s="1001" t="str">
        <f>B16</f>
        <v>6.2.</v>
      </c>
      <c r="C23" s="124" t="str">
        <f t="shared" ref="C23:C28" si="7">C16</f>
        <v>Celkové provozní příjmy (CZK)</v>
      </c>
      <c r="D23" s="125"/>
      <c r="E23" s="1963">
        <f>S16+1</f>
        <v>2041</v>
      </c>
      <c r="F23" s="1945">
        <f t="shared" ref="F23:S23" si="8">E23+1</f>
        <v>2042</v>
      </c>
      <c r="G23" s="1945">
        <f t="shared" si="8"/>
        <v>2043</v>
      </c>
      <c r="H23" s="1945">
        <f t="shared" si="8"/>
        <v>2044</v>
      </c>
      <c r="I23" s="1945">
        <f t="shared" si="8"/>
        <v>2045</v>
      </c>
      <c r="J23" s="1945">
        <f t="shared" si="8"/>
        <v>2046</v>
      </c>
      <c r="K23" s="1945">
        <f t="shared" si="8"/>
        <v>2047</v>
      </c>
      <c r="L23" s="1945">
        <f t="shared" si="8"/>
        <v>2048</v>
      </c>
      <c r="M23" s="1945">
        <f t="shared" si="8"/>
        <v>2049</v>
      </c>
      <c r="N23" s="1945">
        <f t="shared" si="8"/>
        <v>2050</v>
      </c>
      <c r="O23" s="1945">
        <f t="shared" si="8"/>
        <v>2051</v>
      </c>
      <c r="P23" s="1945">
        <f t="shared" si="8"/>
        <v>2052</v>
      </c>
      <c r="Q23" s="1945">
        <f t="shared" si="8"/>
        <v>2053</v>
      </c>
      <c r="R23" s="1945">
        <f t="shared" si="8"/>
        <v>2054</v>
      </c>
      <c r="S23" s="1967">
        <f t="shared" si="8"/>
        <v>2055</v>
      </c>
      <c r="T23" s="117"/>
      <c r="U23" s="11"/>
      <c r="V23" s="11"/>
      <c r="W23" s="11"/>
      <c r="X23" s="11"/>
      <c r="Y23" s="11"/>
      <c r="Z23" s="11"/>
      <c r="AA23" s="11"/>
      <c r="AB23" s="11"/>
      <c r="AC23" s="11"/>
      <c r="AD23" s="1"/>
      <c r="AE23" s="1"/>
      <c r="AF23" s="1"/>
      <c r="AG23" s="1"/>
      <c r="AH23" s="1"/>
      <c r="AI23" s="1"/>
    </row>
    <row r="24" spans="1:35" ht="15" thickBot="1" x14ac:dyDescent="0.35">
      <c r="A24" s="12"/>
      <c r="B24" s="123" t="s">
        <v>5</v>
      </c>
      <c r="C24" s="126" t="str">
        <f t="shared" si="7"/>
        <v>Scénář bez projektu</v>
      </c>
      <c r="D24" s="127"/>
      <c r="E24" s="1964"/>
      <c r="F24" s="1946"/>
      <c r="G24" s="1946"/>
      <c r="H24" s="1946"/>
      <c r="I24" s="1946"/>
      <c r="J24" s="1946"/>
      <c r="K24" s="1946"/>
      <c r="L24" s="1946"/>
      <c r="M24" s="1946"/>
      <c r="N24" s="1946"/>
      <c r="O24" s="1946"/>
      <c r="P24" s="1946"/>
      <c r="Q24" s="1946"/>
      <c r="R24" s="1946"/>
      <c r="S24" s="1968"/>
      <c r="T24" s="117"/>
      <c r="U24" s="11"/>
      <c r="V24" s="11"/>
      <c r="W24" s="11"/>
      <c r="X24" s="11"/>
      <c r="Y24" s="11"/>
      <c r="Z24" s="11"/>
      <c r="AA24" s="11"/>
      <c r="AB24" s="11"/>
      <c r="AC24" s="11"/>
      <c r="AD24" s="1"/>
      <c r="AE24" s="1"/>
      <c r="AF24" s="1"/>
      <c r="AG24" s="1"/>
      <c r="AH24" s="1"/>
      <c r="AI24" s="1"/>
    </row>
    <row r="25" spans="1:35" ht="14.25" x14ac:dyDescent="0.3">
      <c r="A25" s="12"/>
      <c r="B25" s="998"/>
      <c r="C25" s="658" t="str">
        <f t="shared" si="7"/>
        <v>Tržby z jízdného</v>
      </c>
      <c r="D25" s="488"/>
      <c r="E25" s="114"/>
      <c r="F25" s="114"/>
      <c r="G25" s="114"/>
      <c r="H25" s="114"/>
      <c r="I25" s="114"/>
      <c r="J25" s="114"/>
      <c r="K25" s="114"/>
      <c r="L25" s="114"/>
      <c r="M25" s="114"/>
      <c r="N25" s="114"/>
      <c r="O25" s="114"/>
      <c r="P25" s="114"/>
      <c r="Q25" s="114"/>
      <c r="R25" s="114"/>
      <c r="S25" s="114"/>
      <c r="T25" s="489"/>
      <c r="U25" s="7"/>
      <c r="V25" s="7"/>
      <c r="W25" s="7"/>
      <c r="X25" s="7"/>
      <c r="Y25" s="7"/>
      <c r="Z25" s="7"/>
      <c r="AA25" s="7"/>
      <c r="AB25" s="7"/>
      <c r="AC25" s="7"/>
      <c r="AD25" s="1"/>
      <c r="AE25" s="1"/>
      <c r="AF25" s="1"/>
      <c r="AG25" s="1"/>
      <c r="AH25" s="1"/>
      <c r="AI25" s="1"/>
    </row>
    <row r="26" spans="1:35" ht="14.25" hidden="1" x14ac:dyDescent="0.3">
      <c r="A26" s="12"/>
      <c r="B26" s="998"/>
      <c r="C26" s="658" t="str">
        <f t="shared" si="7"/>
        <v>Provozní příjmy - nákladní doprava</v>
      </c>
      <c r="D26" s="121"/>
      <c r="E26" s="114"/>
      <c r="F26" s="114"/>
      <c r="G26" s="114"/>
      <c r="H26" s="114"/>
      <c r="I26" s="114"/>
      <c r="J26" s="114"/>
      <c r="K26" s="114"/>
      <c r="L26" s="114"/>
      <c r="M26" s="114"/>
      <c r="N26" s="114"/>
      <c r="O26" s="114"/>
      <c r="P26" s="114"/>
      <c r="Q26" s="114"/>
      <c r="R26" s="114"/>
      <c r="S26" s="114"/>
      <c r="T26" s="489"/>
      <c r="U26" s="7"/>
      <c r="V26" s="7"/>
      <c r="W26" s="7"/>
      <c r="X26" s="7"/>
      <c r="Y26" s="7"/>
      <c r="Z26" s="7"/>
      <c r="AA26" s="7"/>
      <c r="AB26" s="7"/>
      <c r="AC26" s="7"/>
      <c r="AD26" s="1"/>
      <c r="AE26" s="1"/>
      <c r="AF26" s="1"/>
      <c r="AG26" s="1"/>
      <c r="AH26" s="1"/>
      <c r="AI26" s="1"/>
    </row>
    <row r="27" spans="1:35" ht="14.25" x14ac:dyDescent="0.3">
      <c r="A27" s="12"/>
      <c r="B27" s="998"/>
      <c r="C27" s="989" t="str">
        <f t="shared" si="7"/>
        <v xml:space="preserve">Ostatní tržby z přepravy, pronájmy, apod. </v>
      </c>
      <c r="D27" s="999"/>
      <c r="E27" s="14"/>
      <c r="F27" s="14"/>
      <c r="G27" s="14"/>
      <c r="H27" s="14"/>
      <c r="I27" s="14"/>
      <c r="J27" s="14"/>
      <c r="K27" s="14"/>
      <c r="L27" s="14"/>
      <c r="M27" s="14"/>
      <c r="N27" s="14"/>
      <c r="O27" s="14"/>
      <c r="P27" s="14"/>
      <c r="Q27" s="14"/>
      <c r="R27" s="14"/>
      <c r="S27" s="14"/>
      <c r="T27" s="489"/>
      <c r="U27" s="7"/>
      <c r="V27" s="7"/>
      <c r="W27" s="7"/>
      <c r="X27" s="7"/>
      <c r="Y27" s="7"/>
      <c r="Z27" s="7"/>
      <c r="AA27" s="7"/>
      <c r="AB27" s="7"/>
      <c r="AC27" s="7"/>
      <c r="AD27" s="1"/>
      <c r="AE27" s="1"/>
      <c r="AF27" s="1"/>
      <c r="AG27" s="1"/>
      <c r="AH27" s="1"/>
      <c r="AI27" s="1"/>
    </row>
    <row r="28" spans="1:35" ht="15" thickBot="1" x14ac:dyDescent="0.35">
      <c r="A28" s="12"/>
      <c r="B28" s="1004"/>
      <c r="C28" s="1005" t="str">
        <f t="shared" si="7"/>
        <v>Celkové provozní příjmy (CZK)</v>
      </c>
      <c r="D28" s="1010"/>
      <c r="E28" s="1007">
        <f t="shared" ref="E28:S28" si="9">SUM(E25:E27)</f>
        <v>0</v>
      </c>
      <c r="F28" s="1008">
        <f t="shared" si="9"/>
        <v>0</v>
      </c>
      <c r="G28" s="1008">
        <f t="shared" si="9"/>
        <v>0</v>
      </c>
      <c r="H28" s="1008">
        <f t="shared" si="9"/>
        <v>0</v>
      </c>
      <c r="I28" s="1008">
        <f t="shared" si="9"/>
        <v>0</v>
      </c>
      <c r="J28" s="1008">
        <f t="shared" si="9"/>
        <v>0</v>
      </c>
      <c r="K28" s="1008">
        <f t="shared" si="9"/>
        <v>0</v>
      </c>
      <c r="L28" s="1008">
        <f t="shared" si="9"/>
        <v>0</v>
      </c>
      <c r="M28" s="1008">
        <f t="shared" si="9"/>
        <v>0</v>
      </c>
      <c r="N28" s="1008">
        <f t="shared" si="9"/>
        <v>0</v>
      </c>
      <c r="O28" s="1008">
        <f t="shared" si="9"/>
        <v>0</v>
      </c>
      <c r="P28" s="1008">
        <f t="shared" si="9"/>
        <v>0</v>
      </c>
      <c r="Q28" s="1008">
        <f t="shared" si="9"/>
        <v>0</v>
      </c>
      <c r="R28" s="1008">
        <f t="shared" si="9"/>
        <v>0</v>
      </c>
      <c r="S28" s="1009">
        <f t="shared" si="9"/>
        <v>0</v>
      </c>
      <c r="T28" s="6"/>
      <c r="U28" s="3"/>
      <c r="V28" s="3"/>
      <c r="W28" s="3"/>
      <c r="X28" s="3"/>
      <c r="Y28" s="3"/>
      <c r="Z28" s="3"/>
      <c r="AA28" s="3"/>
      <c r="AB28" s="3"/>
      <c r="AC28" s="3"/>
      <c r="AD28" s="1"/>
      <c r="AE28" s="1"/>
      <c r="AF28" s="1"/>
      <c r="AG28" s="1"/>
      <c r="AH28" s="1"/>
      <c r="AI28" s="1"/>
    </row>
    <row r="29" spans="1:35" ht="15" thickBot="1" x14ac:dyDescent="0.35">
      <c r="A29" s="12"/>
      <c r="B29" s="901"/>
      <c r="C29" s="902"/>
      <c r="D29" s="903"/>
      <c r="E29" s="881"/>
      <c r="F29" s="881"/>
      <c r="G29" s="881"/>
      <c r="H29" s="881"/>
      <c r="I29" s="881"/>
      <c r="J29" s="881"/>
      <c r="K29" s="881"/>
      <c r="L29" s="881"/>
      <c r="M29" s="881"/>
      <c r="N29" s="881"/>
      <c r="O29" s="881"/>
      <c r="P29" s="881"/>
      <c r="Q29" s="881"/>
      <c r="R29" s="881"/>
      <c r="S29" s="881"/>
      <c r="T29" s="6"/>
      <c r="U29" s="3"/>
      <c r="V29" s="3"/>
      <c r="W29" s="3"/>
      <c r="X29" s="3"/>
      <c r="Y29" s="3"/>
      <c r="Z29" s="3"/>
      <c r="AA29" s="3"/>
      <c r="AB29" s="3"/>
      <c r="AC29" s="3"/>
      <c r="AD29" s="1"/>
      <c r="AE29" s="1"/>
      <c r="AF29" s="1"/>
      <c r="AG29" s="1"/>
      <c r="AH29" s="1"/>
      <c r="AI29" s="1"/>
    </row>
    <row r="30" spans="1:35" ht="12.75" customHeight="1" x14ac:dyDescent="0.3">
      <c r="A30" s="12"/>
      <c r="B30" s="1011" t="s">
        <v>29</v>
      </c>
      <c r="C30" s="1012" t="str">
        <f>IF('0 Úvod'!$M$10="English",Slovnik!D417,Slovnik!C417)</f>
        <v>Celkové přírůstkové provozní příjmy (CZK)</v>
      </c>
      <c r="D30" s="1013"/>
      <c r="E30" s="1965">
        <f>E2</f>
        <v>2026</v>
      </c>
      <c r="F30" s="1961">
        <f t="shared" ref="F30:S30" si="10">E30+1</f>
        <v>2027</v>
      </c>
      <c r="G30" s="1961">
        <f t="shared" si="10"/>
        <v>2028</v>
      </c>
      <c r="H30" s="1961">
        <f t="shared" si="10"/>
        <v>2029</v>
      </c>
      <c r="I30" s="1961">
        <f t="shared" si="10"/>
        <v>2030</v>
      </c>
      <c r="J30" s="1961">
        <f t="shared" si="10"/>
        <v>2031</v>
      </c>
      <c r="K30" s="1961">
        <f t="shared" si="10"/>
        <v>2032</v>
      </c>
      <c r="L30" s="1961">
        <f t="shared" si="10"/>
        <v>2033</v>
      </c>
      <c r="M30" s="1961">
        <f t="shared" si="10"/>
        <v>2034</v>
      </c>
      <c r="N30" s="1961">
        <f t="shared" si="10"/>
        <v>2035</v>
      </c>
      <c r="O30" s="1961">
        <f t="shared" si="10"/>
        <v>2036</v>
      </c>
      <c r="P30" s="1961">
        <f t="shared" si="10"/>
        <v>2037</v>
      </c>
      <c r="Q30" s="1961">
        <f t="shared" si="10"/>
        <v>2038</v>
      </c>
      <c r="R30" s="1961">
        <f t="shared" si="10"/>
        <v>2039</v>
      </c>
      <c r="S30" s="1969">
        <f t="shared" si="10"/>
        <v>2040</v>
      </c>
      <c r="T30" s="117"/>
      <c r="U30" s="11"/>
      <c r="V30" s="11"/>
      <c r="W30" s="11"/>
      <c r="X30" s="11"/>
      <c r="Y30" s="11"/>
      <c r="Z30" s="11"/>
      <c r="AA30" s="11"/>
      <c r="AB30" s="11"/>
      <c r="AC30" s="11"/>
      <c r="AD30" s="1"/>
      <c r="AE30" s="1"/>
      <c r="AF30" s="1"/>
      <c r="AG30" s="1"/>
      <c r="AH30" s="1"/>
      <c r="AI30" s="1"/>
    </row>
    <row r="31" spans="1:35" ht="12.75" customHeight="1" thickBot="1" x14ac:dyDescent="0.35">
      <c r="A31" s="108"/>
      <c r="B31" s="1014" t="s">
        <v>4</v>
      </c>
      <c r="C31" s="1015" t="str">
        <f>IF('0 Úvod'!$M$10="English",Slovnik!D418,Slovnik!C418)</f>
        <v>Přírůstek cash-flow</v>
      </c>
      <c r="D31" s="1016" t="str">
        <f>D17</f>
        <v>Celkem</v>
      </c>
      <c r="E31" s="1966"/>
      <c r="F31" s="1962"/>
      <c r="G31" s="1962"/>
      <c r="H31" s="1962"/>
      <c r="I31" s="1962"/>
      <c r="J31" s="1962"/>
      <c r="K31" s="1962"/>
      <c r="L31" s="1962"/>
      <c r="M31" s="1962"/>
      <c r="N31" s="1962"/>
      <c r="O31" s="1962"/>
      <c r="P31" s="1962"/>
      <c r="Q31" s="1962"/>
      <c r="R31" s="1962"/>
      <c r="S31" s="1970"/>
      <c r="T31" s="117"/>
      <c r="U31" s="11"/>
      <c r="V31" s="11"/>
      <c r="W31" s="11"/>
      <c r="X31" s="11"/>
      <c r="Y31" s="11"/>
      <c r="Z31" s="11"/>
      <c r="AA31" s="11"/>
      <c r="AB31" s="11"/>
      <c r="AC31" s="11"/>
      <c r="AD31" s="1"/>
      <c r="AE31" s="1"/>
      <c r="AF31" s="1"/>
      <c r="AG31" s="1"/>
      <c r="AH31" s="1"/>
    </row>
    <row r="32" spans="1:35" ht="12.75" customHeight="1" x14ac:dyDescent="0.3">
      <c r="A32" s="108"/>
      <c r="B32" s="1017"/>
      <c r="C32" s="1018" t="str">
        <f>C25</f>
        <v>Tržby z jízdného</v>
      </c>
      <c r="D32" s="183">
        <f>SUM(E32:S32,E39:S39)</f>
        <v>0</v>
      </c>
      <c r="E32" s="1019">
        <f t="shared" ref="E32:S32" si="11">E4-E18</f>
        <v>0</v>
      </c>
      <c r="F32" s="1019">
        <f t="shared" si="11"/>
        <v>0</v>
      </c>
      <c r="G32" s="1019">
        <f t="shared" si="11"/>
        <v>0</v>
      </c>
      <c r="H32" s="1019">
        <f t="shared" si="11"/>
        <v>0</v>
      </c>
      <c r="I32" s="1019">
        <f t="shared" si="11"/>
        <v>0</v>
      </c>
      <c r="J32" s="1019">
        <f t="shared" si="11"/>
        <v>0</v>
      </c>
      <c r="K32" s="1019">
        <f t="shared" si="11"/>
        <v>0</v>
      </c>
      <c r="L32" s="1019">
        <f t="shared" si="11"/>
        <v>0</v>
      </c>
      <c r="M32" s="1019">
        <f t="shared" si="11"/>
        <v>0</v>
      </c>
      <c r="N32" s="1019">
        <f t="shared" si="11"/>
        <v>0</v>
      </c>
      <c r="O32" s="1019">
        <f t="shared" si="11"/>
        <v>0</v>
      </c>
      <c r="P32" s="1019">
        <f t="shared" si="11"/>
        <v>0</v>
      </c>
      <c r="Q32" s="1019">
        <f t="shared" si="11"/>
        <v>0</v>
      </c>
      <c r="R32" s="1019">
        <f t="shared" si="11"/>
        <v>0</v>
      </c>
      <c r="S32" s="1020">
        <f t="shared" si="11"/>
        <v>0</v>
      </c>
      <c r="T32" s="6"/>
      <c r="U32" s="3"/>
      <c r="V32" s="3"/>
      <c r="W32" s="3"/>
      <c r="X32" s="3"/>
      <c r="Y32" s="3"/>
      <c r="Z32" s="3"/>
      <c r="AA32" s="3"/>
      <c r="AB32" s="3"/>
      <c r="AC32" s="3"/>
      <c r="AD32" s="1"/>
      <c r="AE32" s="1"/>
      <c r="AF32" s="1"/>
      <c r="AG32" s="1"/>
      <c r="AH32" s="1"/>
    </row>
    <row r="33" spans="1:34" ht="12.75" hidden="1" customHeight="1" x14ac:dyDescent="0.3">
      <c r="A33" s="108"/>
      <c r="B33" s="1021"/>
      <c r="C33" s="658" t="str">
        <f>C26</f>
        <v>Provozní příjmy - nákladní doprava</v>
      </c>
      <c r="D33" s="182" t="e">
        <f>SUM(E33:S33,#REF!)</f>
        <v>#REF!</v>
      </c>
      <c r="E33" s="1019">
        <f t="shared" ref="E33:S33" si="12">E5-E19</f>
        <v>0</v>
      </c>
      <c r="F33" s="1019">
        <f t="shared" si="12"/>
        <v>0</v>
      </c>
      <c r="G33" s="1019">
        <f t="shared" si="12"/>
        <v>0</v>
      </c>
      <c r="H33" s="1019">
        <f t="shared" si="12"/>
        <v>0</v>
      </c>
      <c r="I33" s="1019">
        <f t="shared" si="12"/>
        <v>0</v>
      </c>
      <c r="J33" s="1019">
        <f t="shared" si="12"/>
        <v>0</v>
      </c>
      <c r="K33" s="1019">
        <f t="shared" si="12"/>
        <v>0</v>
      </c>
      <c r="L33" s="1019">
        <f t="shared" si="12"/>
        <v>0</v>
      </c>
      <c r="M33" s="1019">
        <f t="shared" si="12"/>
        <v>0</v>
      </c>
      <c r="N33" s="1019">
        <f t="shared" si="12"/>
        <v>0</v>
      </c>
      <c r="O33" s="1019">
        <f t="shared" si="12"/>
        <v>0</v>
      </c>
      <c r="P33" s="1019">
        <f t="shared" si="12"/>
        <v>0</v>
      </c>
      <c r="Q33" s="1019">
        <f t="shared" si="12"/>
        <v>0</v>
      </c>
      <c r="R33" s="1019">
        <f t="shared" si="12"/>
        <v>0</v>
      </c>
      <c r="S33" s="1020">
        <f t="shared" si="12"/>
        <v>0</v>
      </c>
      <c r="T33" s="6"/>
      <c r="U33" s="3"/>
      <c r="V33" s="3"/>
      <c r="W33" s="3"/>
      <c r="X33" s="3"/>
      <c r="Y33" s="3"/>
      <c r="Z33" s="3"/>
      <c r="AA33" s="3"/>
      <c r="AB33" s="3"/>
      <c r="AC33" s="3"/>
      <c r="AD33" s="1"/>
      <c r="AE33" s="1"/>
      <c r="AF33" s="1"/>
      <c r="AG33" s="1"/>
      <c r="AH33" s="1"/>
    </row>
    <row r="34" spans="1:34" ht="12.75" customHeight="1" x14ac:dyDescent="0.3">
      <c r="A34" s="108"/>
      <c r="B34" s="1021"/>
      <c r="C34" s="989" t="str">
        <f>C27</f>
        <v xml:space="preserve">Ostatní tržby z přepravy, pronájmy, apod. </v>
      </c>
      <c r="D34" s="182">
        <f>SUM(E34:S34,E40:S40)</f>
        <v>0</v>
      </c>
      <c r="E34" s="1019">
        <f t="shared" ref="E34:S34" si="13">E6-E20</f>
        <v>0</v>
      </c>
      <c r="F34" s="1019">
        <f t="shared" si="13"/>
        <v>0</v>
      </c>
      <c r="G34" s="1019">
        <f t="shared" si="13"/>
        <v>0</v>
      </c>
      <c r="H34" s="1019">
        <f t="shared" si="13"/>
        <v>0</v>
      </c>
      <c r="I34" s="1019">
        <f t="shared" si="13"/>
        <v>0</v>
      </c>
      <c r="J34" s="1019">
        <f t="shared" si="13"/>
        <v>0</v>
      </c>
      <c r="K34" s="1019">
        <f t="shared" si="13"/>
        <v>0</v>
      </c>
      <c r="L34" s="1019">
        <f t="shared" si="13"/>
        <v>0</v>
      </c>
      <c r="M34" s="1019">
        <f t="shared" si="13"/>
        <v>0</v>
      </c>
      <c r="N34" s="1019">
        <f t="shared" si="13"/>
        <v>0</v>
      </c>
      <c r="O34" s="1019">
        <f t="shared" si="13"/>
        <v>0</v>
      </c>
      <c r="P34" s="1019">
        <f t="shared" si="13"/>
        <v>0</v>
      </c>
      <c r="Q34" s="1019">
        <f t="shared" si="13"/>
        <v>0</v>
      </c>
      <c r="R34" s="1019">
        <f t="shared" si="13"/>
        <v>0</v>
      </c>
      <c r="S34" s="1020">
        <f t="shared" si="13"/>
        <v>0</v>
      </c>
      <c r="T34" s="6"/>
      <c r="U34" s="3"/>
      <c r="V34" s="3"/>
      <c r="W34" s="3"/>
      <c r="X34" s="3"/>
      <c r="Y34" s="3"/>
      <c r="Z34" s="3"/>
      <c r="AA34" s="3"/>
      <c r="AB34" s="3"/>
      <c r="AC34" s="3"/>
      <c r="AD34" s="1"/>
      <c r="AE34" s="1"/>
      <c r="AF34" s="1"/>
      <c r="AG34" s="1"/>
      <c r="AH34" s="1"/>
    </row>
    <row r="35" spans="1:34" ht="15" thickBot="1" x14ac:dyDescent="0.35">
      <c r="A35" s="12"/>
      <c r="B35" s="1022"/>
      <c r="C35" s="1023" t="str">
        <f>C30</f>
        <v>Celkové přírůstkové provozní příjmy (CZK)</v>
      </c>
      <c r="D35" s="1024">
        <f>SUM(E35:S35,E41:S41)</f>
        <v>0</v>
      </c>
      <c r="E35" s="1025">
        <f t="shared" ref="E35:S35" si="14">E7-E21</f>
        <v>0</v>
      </c>
      <c r="F35" s="1025">
        <f t="shared" si="14"/>
        <v>0</v>
      </c>
      <c r="G35" s="1025">
        <f t="shared" si="14"/>
        <v>0</v>
      </c>
      <c r="H35" s="1025">
        <f t="shared" si="14"/>
        <v>0</v>
      </c>
      <c r="I35" s="1025">
        <f t="shared" si="14"/>
        <v>0</v>
      </c>
      <c r="J35" s="1025">
        <f t="shared" si="14"/>
        <v>0</v>
      </c>
      <c r="K35" s="1025">
        <f t="shared" si="14"/>
        <v>0</v>
      </c>
      <c r="L35" s="1025">
        <f t="shared" si="14"/>
        <v>0</v>
      </c>
      <c r="M35" s="1025">
        <f t="shared" si="14"/>
        <v>0</v>
      </c>
      <c r="N35" s="1025">
        <f t="shared" si="14"/>
        <v>0</v>
      </c>
      <c r="O35" s="1025">
        <f t="shared" si="14"/>
        <v>0</v>
      </c>
      <c r="P35" s="1025">
        <f t="shared" si="14"/>
        <v>0</v>
      </c>
      <c r="Q35" s="1025">
        <f t="shared" si="14"/>
        <v>0</v>
      </c>
      <c r="R35" s="1025">
        <f t="shared" si="14"/>
        <v>0</v>
      </c>
      <c r="S35" s="1026">
        <f t="shared" si="14"/>
        <v>0</v>
      </c>
      <c r="T35" s="6"/>
      <c r="U35" s="3"/>
      <c r="V35" s="3"/>
      <c r="W35" s="3"/>
      <c r="X35" s="3"/>
      <c r="Y35" s="3"/>
      <c r="Z35" s="3"/>
      <c r="AA35" s="3"/>
      <c r="AB35" s="3"/>
      <c r="AC35" s="3"/>
      <c r="AD35" s="1"/>
      <c r="AE35" s="1"/>
      <c r="AF35" s="1"/>
      <c r="AG35" s="1"/>
      <c r="AH35" s="1"/>
    </row>
    <row r="36" spans="1:34" ht="14.25" thickBot="1" x14ac:dyDescent="0.35">
      <c r="A36" s="12"/>
      <c r="B36" s="1027"/>
      <c r="C36" s="17"/>
      <c r="D36" s="881"/>
      <c r="E36" s="997"/>
      <c r="F36" s="997"/>
      <c r="G36" s="997"/>
      <c r="H36" s="997"/>
      <c r="I36" s="997"/>
      <c r="J36" s="997"/>
      <c r="K36" s="997"/>
      <c r="L36" s="997"/>
      <c r="M36" s="997"/>
      <c r="N36" s="997"/>
      <c r="O36" s="997"/>
      <c r="P36" s="997"/>
      <c r="Q36" s="997"/>
      <c r="R36" s="997"/>
      <c r="S36" s="997"/>
      <c r="T36" s="10"/>
      <c r="U36" s="8"/>
      <c r="V36" s="8"/>
      <c r="W36" s="8"/>
      <c r="X36" s="8"/>
      <c r="Y36" s="8"/>
      <c r="Z36" s="8"/>
      <c r="AA36" s="8"/>
      <c r="AB36" s="8"/>
      <c r="AC36" s="8"/>
      <c r="AD36" s="1"/>
      <c r="AE36" s="1"/>
      <c r="AF36" s="1"/>
      <c r="AG36" s="1"/>
      <c r="AH36" s="1"/>
    </row>
    <row r="37" spans="1:34" ht="12.75" customHeight="1" x14ac:dyDescent="0.3">
      <c r="A37" s="12"/>
      <c r="B37" s="1011" t="str">
        <f>B30</f>
        <v>6.3.</v>
      </c>
      <c r="C37" s="1012" t="str">
        <f t="shared" ref="C37:C39" si="15">C30</f>
        <v>Celkové přírůstkové provozní příjmy (CZK)</v>
      </c>
      <c r="D37" s="1013"/>
      <c r="E37" s="1961">
        <f>S30+1</f>
        <v>2041</v>
      </c>
      <c r="F37" s="1961">
        <f t="shared" ref="F37:S37" si="16">E37+1</f>
        <v>2042</v>
      </c>
      <c r="G37" s="1961">
        <f t="shared" si="16"/>
        <v>2043</v>
      </c>
      <c r="H37" s="1961">
        <f t="shared" si="16"/>
        <v>2044</v>
      </c>
      <c r="I37" s="1961">
        <f t="shared" si="16"/>
        <v>2045</v>
      </c>
      <c r="J37" s="1961">
        <f t="shared" si="16"/>
        <v>2046</v>
      </c>
      <c r="K37" s="1961">
        <f t="shared" si="16"/>
        <v>2047</v>
      </c>
      <c r="L37" s="1961">
        <f t="shared" si="16"/>
        <v>2048</v>
      </c>
      <c r="M37" s="1961">
        <f t="shared" si="16"/>
        <v>2049</v>
      </c>
      <c r="N37" s="1961">
        <f t="shared" si="16"/>
        <v>2050</v>
      </c>
      <c r="O37" s="1961">
        <f t="shared" si="16"/>
        <v>2051</v>
      </c>
      <c r="P37" s="1961">
        <f t="shared" si="16"/>
        <v>2052</v>
      </c>
      <c r="Q37" s="1961">
        <f t="shared" si="16"/>
        <v>2053</v>
      </c>
      <c r="R37" s="1961">
        <f t="shared" si="16"/>
        <v>2054</v>
      </c>
      <c r="S37" s="1969">
        <f t="shared" si="16"/>
        <v>2055</v>
      </c>
      <c r="T37" s="117"/>
      <c r="U37" s="11"/>
      <c r="V37" s="11"/>
      <c r="W37" s="11"/>
      <c r="X37" s="11"/>
      <c r="Y37" s="11"/>
      <c r="Z37" s="11"/>
      <c r="AA37" s="11"/>
      <c r="AB37" s="11"/>
      <c r="AC37" s="11"/>
      <c r="AD37" s="1"/>
      <c r="AE37" s="1"/>
      <c r="AF37" s="1"/>
      <c r="AG37" s="1"/>
      <c r="AH37" s="1"/>
    </row>
    <row r="38" spans="1:34" ht="12.75" customHeight="1" thickBot="1" x14ac:dyDescent="0.35">
      <c r="A38" s="108"/>
      <c r="B38" s="1014" t="s">
        <v>5</v>
      </c>
      <c r="C38" s="1015" t="str">
        <f t="shared" si="15"/>
        <v>Přírůstek cash-flow</v>
      </c>
      <c r="D38" s="1028"/>
      <c r="E38" s="1962"/>
      <c r="F38" s="1962"/>
      <c r="G38" s="1962"/>
      <c r="H38" s="1962"/>
      <c r="I38" s="1962"/>
      <c r="J38" s="1962"/>
      <c r="K38" s="1962"/>
      <c r="L38" s="1962"/>
      <c r="M38" s="1962"/>
      <c r="N38" s="1962"/>
      <c r="O38" s="1962"/>
      <c r="P38" s="1962"/>
      <c r="Q38" s="1962"/>
      <c r="R38" s="1962"/>
      <c r="S38" s="1970"/>
      <c r="T38" s="117"/>
      <c r="U38" s="11"/>
      <c r="V38" s="11"/>
      <c r="W38" s="11"/>
      <c r="X38" s="11"/>
      <c r="Y38" s="11"/>
      <c r="Z38" s="11"/>
      <c r="AA38" s="11"/>
      <c r="AB38" s="11"/>
      <c r="AC38" s="11"/>
      <c r="AD38" s="1"/>
      <c r="AE38" s="1"/>
      <c r="AF38" s="1"/>
      <c r="AG38" s="1"/>
      <c r="AH38" s="1"/>
    </row>
    <row r="39" spans="1:34" ht="12.75" customHeight="1" x14ac:dyDescent="0.3">
      <c r="A39" s="108"/>
      <c r="B39" s="1017"/>
      <c r="C39" s="1018" t="str">
        <f t="shared" si="15"/>
        <v>Tržby z jízdného</v>
      </c>
      <c r="D39" s="1029"/>
      <c r="E39" s="1030">
        <f t="shared" ref="E39:S39" si="17">E11-E25</f>
        <v>0</v>
      </c>
      <c r="F39" s="1030">
        <f t="shared" si="17"/>
        <v>0</v>
      </c>
      <c r="G39" s="1030">
        <f t="shared" si="17"/>
        <v>0</v>
      </c>
      <c r="H39" s="1030">
        <f t="shared" si="17"/>
        <v>0</v>
      </c>
      <c r="I39" s="1030">
        <f t="shared" si="17"/>
        <v>0</v>
      </c>
      <c r="J39" s="1030">
        <f t="shared" si="17"/>
        <v>0</v>
      </c>
      <c r="K39" s="1030">
        <f t="shared" si="17"/>
        <v>0</v>
      </c>
      <c r="L39" s="1030">
        <f t="shared" si="17"/>
        <v>0</v>
      </c>
      <c r="M39" s="1030">
        <f t="shared" si="17"/>
        <v>0</v>
      </c>
      <c r="N39" s="1030">
        <f t="shared" si="17"/>
        <v>0</v>
      </c>
      <c r="O39" s="1030">
        <f t="shared" si="17"/>
        <v>0</v>
      </c>
      <c r="P39" s="1030">
        <f t="shared" si="17"/>
        <v>0</v>
      </c>
      <c r="Q39" s="1030">
        <f t="shared" si="17"/>
        <v>0</v>
      </c>
      <c r="R39" s="1030">
        <f t="shared" si="17"/>
        <v>0</v>
      </c>
      <c r="S39" s="1031">
        <f t="shared" si="17"/>
        <v>0</v>
      </c>
      <c r="T39" s="6"/>
      <c r="U39" s="3"/>
      <c r="V39" s="3"/>
      <c r="W39" s="3"/>
      <c r="X39" s="3"/>
      <c r="Y39" s="3"/>
      <c r="Z39" s="3"/>
      <c r="AA39" s="3"/>
      <c r="AB39" s="3"/>
      <c r="AC39" s="3"/>
      <c r="AD39" s="1"/>
      <c r="AE39" s="1"/>
      <c r="AF39" s="1"/>
      <c r="AG39" s="1"/>
      <c r="AH39" s="1"/>
    </row>
    <row r="40" spans="1:34" ht="12.75" customHeight="1" x14ac:dyDescent="0.3">
      <c r="A40" s="108"/>
      <c r="B40" s="1021"/>
      <c r="C40" s="989" t="str">
        <f>C34</f>
        <v xml:space="preserve">Ostatní tržby z přepravy, pronájmy, apod. </v>
      </c>
      <c r="D40" s="1032"/>
      <c r="E40" s="1030">
        <f t="shared" ref="E40:S40" si="18">E13-E27</f>
        <v>0</v>
      </c>
      <c r="F40" s="1030">
        <f t="shared" si="18"/>
        <v>0</v>
      </c>
      <c r="G40" s="1030">
        <f t="shared" si="18"/>
        <v>0</v>
      </c>
      <c r="H40" s="1030">
        <f t="shared" si="18"/>
        <v>0</v>
      </c>
      <c r="I40" s="1030">
        <f t="shared" si="18"/>
        <v>0</v>
      </c>
      <c r="J40" s="1030">
        <f t="shared" si="18"/>
        <v>0</v>
      </c>
      <c r="K40" s="1030">
        <f t="shared" si="18"/>
        <v>0</v>
      </c>
      <c r="L40" s="1030">
        <f t="shared" si="18"/>
        <v>0</v>
      </c>
      <c r="M40" s="1030">
        <f t="shared" si="18"/>
        <v>0</v>
      </c>
      <c r="N40" s="1030">
        <f t="shared" si="18"/>
        <v>0</v>
      </c>
      <c r="O40" s="1030">
        <f t="shared" si="18"/>
        <v>0</v>
      </c>
      <c r="P40" s="1030">
        <f t="shared" si="18"/>
        <v>0</v>
      </c>
      <c r="Q40" s="1030">
        <f t="shared" si="18"/>
        <v>0</v>
      </c>
      <c r="R40" s="1030">
        <f t="shared" si="18"/>
        <v>0</v>
      </c>
      <c r="S40" s="1031">
        <f t="shared" si="18"/>
        <v>0</v>
      </c>
      <c r="T40" s="6"/>
      <c r="U40" s="3"/>
      <c r="V40" s="3"/>
      <c r="W40" s="3"/>
      <c r="X40" s="3"/>
      <c r="Y40" s="3"/>
      <c r="Z40" s="3"/>
      <c r="AA40" s="3"/>
      <c r="AB40" s="3"/>
      <c r="AC40" s="3"/>
      <c r="AD40" s="1"/>
      <c r="AE40" s="1"/>
      <c r="AF40" s="1"/>
      <c r="AG40" s="1"/>
      <c r="AH40" s="1"/>
    </row>
    <row r="41" spans="1:34" ht="15" thickBot="1" x14ac:dyDescent="0.35">
      <c r="A41" s="12"/>
      <c r="B41" s="1022"/>
      <c r="C41" s="1023" t="str">
        <f>C35</f>
        <v>Celkové přírůstkové provozní příjmy (CZK)</v>
      </c>
      <c r="D41" s="1033"/>
      <c r="E41" s="1025">
        <f t="shared" ref="E41:S41" si="19">E14-E28</f>
        <v>0</v>
      </c>
      <c r="F41" s="1025">
        <f t="shared" si="19"/>
        <v>0</v>
      </c>
      <c r="G41" s="1025">
        <f t="shared" si="19"/>
        <v>0</v>
      </c>
      <c r="H41" s="1025">
        <f t="shared" si="19"/>
        <v>0</v>
      </c>
      <c r="I41" s="1025">
        <f t="shared" si="19"/>
        <v>0</v>
      </c>
      <c r="J41" s="1025">
        <f t="shared" si="19"/>
        <v>0</v>
      </c>
      <c r="K41" s="1025">
        <f t="shared" si="19"/>
        <v>0</v>
      </c>
      <c r="L41" s="1025">
        <f t="shared" si="19"/>
        <v>0</v>
      </c>
      <c r="M41" s="1025">
        <f t="shared" si="19"/>
        <v>0</v>
      </c>
      <c r="N41" s="1025">
        <f t="shared" si="19"/>
        <v>0</v>
      </c>
      <c r="O41" s="1025">
        <f t="shared" si="19"/>
        <v>0</v>
      </c>
      <c r="P41" s="1025">
        <f t="shared" si="19"/>
        <v>0</v>
      </c>
      <c r="Q41" s="1025">
        <f t="shared" si="19"/>
        <v>0</v>
      </c>
      <c r="R41" s="1025">
        <f t="shared" si="19"/>
        <v>0</v>
      </c>
      <c r="S41" s="1026">
        <f t="shared" si="19"/>
        <v>0</v>
      </c>
      <c r="T41" s="6"/>
      <c r="U41" s="3"/>
      <c r="V41" s="3"/>
      <c r="W41" s="3"/>
      <c r="X41" s="3"/>
      <c r="Y41" s="3"/>
      <c r="Z41" s="3"/>
      <c r="AA41" s="3"/>
      <c r="AB41" s="3"/>
      <c r="AC41" s="3"/>
      <c r="AD41" s="1"/>
      <c r="AE41" s="1"/>
      <c r="AF41" s="1"/>
      <c r="AG41" s="1"/>
      <c r="AH41" s="1"/>
    </row>
    <row r="42" spans="1:34" ht="15" thickBot="1" x14ac:dyDescent="0.35">
      <c r="A42" s="12"/>
      <c r="B42" s="901"/>
      <c r="C42" s="902"/>
      <c r="D42" s="903"/>
      <c r="E42" s="881"/>
      <c r="F42" s="881"/>
      <c r="G42" s="881"/>
      <c r="H42" s="881"/>
      <c r="I42" s="881"/>
      <c r="J42" s="881"/>
      <c r="K42" s="881"/>
      <c r="L42" s="881"/>
      <c r="M42" s="881"/>
      <c r="N42" s="881"/>
      <c r="O42" s="881"/>
      <c r="P42" s="881"/>
      <c r="Q42" s="881"/>
      <c r="R42" s="881"/>
      <c r="S42" s="881"/>
      <c r="T42" s="4"/>
      <c r="U42" s="1"/>
      <c r="V42" s="1"/>
      <c r="W42" s="1"/>
      <c r="X42" s="1"/>
      <c r="Y42" s="1"/>
      <c r="Z42" s="1"/>
      <c r="AA42" s="1"/>
      <c r="AB42" s="1"/>
      <c r="AC42" s="1"/>
      <c r="AD42" s="1"/>
      <c r="AE42" s="1"/>
      <c r="AF42" s="1"/>
      <c r="AG42" s="1"/>
      <c r="AH42" s="1"/>
    </row>
    <row r="43" spans="1:34" ht="14.25" x14ac:dyDescent="0.3">
      <c r="A43" s="12"/>
      <c r="B43" s="1034"/>
      <c r="C43" s="1035" t="str">
        <f>IF('0 Úvod'!$M$10="English",Slovnik!D419,Slovnik!C419)</f>
        <v>Scénář s projektem (CZK)</v>
      </c>
      <c r="D43" s="1036">
        <f>D7</f>
        <v>0</v>
      </c>
      <c r="E43" s="17"/>
      <c r="F43" s="17"/>
      <c r="G43" s="17"/>
      <c r="H43" s="17"/>
      <c r="I43" s="17"/>
      <c r="J43" s="17"/>
      <c r="K43" s="17"/>
      <c r="L43" s="17"/>
      <c r="M43" s="17"/>
      <c r="N43" s="17"/>
      <c r="O43" s="17"/>
      <c r="P43" s="17"/>
      <c r="Q43" s="17"/>
      <c r="R43" s="17"/>
      <c r="S43" s="17"/>
      <c r="T43" s="4"/>
      <c r="U43" s="1"/>
      <c r="V43" s="1"/>
      <c r="W43" s="1"/>
      <c r="X43" s="1"/>
      <c r="Y43" s="1"/>
      <c r="Z43" s="1"/>
      <c r="AA43" s="1"/>
      <c r="AB43" s="1"/>
      <c r="AC43" s="1"/>
      <c r="AD43" s="1"/>
      <c r="AE43" s="1"/>
      <c r="AF43" s="1"/>
      <c r="AG43" s="1"/>
      <c r="AH43" s="1"/>
    </row>
    <row r="44" spans="1:34" ht="14.25" x14ac:dyDescent="0.3">
      <c r="A44" s="12"/>
      <c r="B44" s="1037"/>
      <c r="C44" s="1038" t="str">
        <f>IF('0 Úvod'!$M$10="English",Slovnik!D420,Slovnik!C420)</f>
        <v>Scénář bez projektu (CZK)</v>
      </c>
      <c r="D44" s="1039">
        <f>D21</f>
        <v>0</v>
      </c>
      <c r="E44" s="17"/>
      <c r="F44" s="17"/>
      <c r="G44" s="17"/>
      <c r="H44" s="17"/>
      <c r="I44" s="17"/>
      <c r="J44" s="17"/>
      <c r="K44" s="17"/>
      <c r="L44" s="17"/>
      <c r="M44" s="17"/>
      <c r="N44" s="17"/>
      <c r="O44" s="17"/>
      <c r="P44" s="17"/>
      <c r="Q44" s="17"/>
      <c r="R44" s="17"/>
      <c r="S44" s="17"/>
      <c r="T44" s="4"/>
      <c r="U44" s="1"/>
      <c r="V44" s="1"/>
      <c r="W44" s="1"/>
      <c r="X44" s="1"/>
      <c r="Y44" s="1"/>
      <c r="Z44" s="1"/>
      <c r="AA44" s="1"/>
      <c r="AB44" s="1"/>
      <c r="AC44" s="1"/>
      <c r="AD44" s="1"/>
      <c r="AE44" s="1"/>
      <c r="AF44" s="1"/>
      <c r="AG44" s="1"/>
      <c r="AH44" s="1"/>
    </row>
    <row r="45" spans="1:34" ht="15" thickBot="1" x14ac:dyDescent="0.35">
      <c r="A45" s="12"/>
      <c r="B45" s="1040"/>
      <c r="C45" s="1041" t="str">
        <f>IF('0 Úvod'!$M$10="English",Slovnik!D421,Slovnik!C421)</f>
        <v>Přírůstek cash-flow (CZK)</v>
      </c>
      <c r="D45" s="1024">
        <f>D35</f>
        <v>0</v>
      </c>
      <c r="E45" s="17"/>
      <c r="F45" s="17"/>
      <c r="G45" s="17"/>
      <c r="H45" s="17"/>
      <c r="I45" s="17"/>
      <c r="J45" s="17"/>
      <c r="K45" s="17"/>
      <c r="L45" s="17"/>
      <c r="M45" s="17"/>
      <c r="N45" s="17"/>
      <c r="O45" s="17"/>
      <c r="P45" s="17"/>
      <c r="Q45" s="17"/>
      <c r="R45" s="17"/>
      <c r="S45" s="17"/>
      <c r="T45" s="4"/>
      <c r="U45" s="1"/>
      <c r="V45" s="1"/>
      <c r="W45" s="1"/>
      <c r="X45" s="1"/>
      <c r="Y45" s="1"/>
      <c r="Z45" s="1"/>
      <c r="AA45" s="1"/>
      <c r="AB45" s="1"/>
      <c r="AC45" s="1"/>
      <c r="AD45" s="1"/>
      <c r="AE45" s="1"/>
      <c r="AF45" s="1"/>
      <c r="AG45" s="1"/>
      <c r="AH45" s="1"/>
    </row>
    <row r="46" spans="1:34" ht="14.25" x14ac:dyDescent="0.3">
      <c r="A46" s="12"/>
      <c r="B46" s="1042"/>
      <c r="C46" s="902"/>
      <c r="D46" s="1030"/>
      <c r="E46" s="17"/>
      <c r="F46" s="17"/>
      <c r="G46" s="17"/>
      <c r="H46" s="17"/>
      <c r="I46" s="17"/>
      <c r="J46" s="17"/>
      <c r="K46" s="17"/>
      <c r="L46" s="17"/>
      <c r="M46" s="17"/>
      <c r="N46" s="17"/>
      <c r="O46" s="17"/>
      <c r="P46" s="17"/>
      <c r="Q46" s="17"/>
      <c r="R46" s="17"/>
      <c r="S46" s="17"/>
      <c r="T46" s="4"/>
      <c r="U46" s="1"/>
      <c r="V46" s="1"/>
      <c r="W46" s="1"/>
      <c r="X46" s="1"/>
      <c r="Y46" s="1"/>
      <c r="Z46" s="1"/>
      <c r="AA46" s="1"/>
      <c r="AB46" s="1"/>
      <c r="AC46" s="1"/>
      <c r="AD46" s="1"/>
      <c r="AE46" s="1"/>
      <c r="AF46" s="1"/>
      <c r="AG46" s="1"/>
      <c r="AH46" s="1"/>
    </row>
    <row r="47" spans="1:34" ht="14.25" hidden="1" thickBot="1" x14ac:dyDescent="0.35">
      <c r="A47" s="12"/>
      <c r="B47" s="12"/>
      <c r="C47" s="12"/>
      <c r="D47" s="12"/>
      <c r="E47" s="12"/>
      <c r="F47" s="12"/>
      <c r="G47" s="12"/>
      <c r="H47" s="12"/>
      <c r="I47" s="12"/>
      <c r="J47" s="12"/>
      <c r="K47" s="12"/>
      <c r="L47" s="12"/>
      <c r="M47" s="12"/>
      <c r="N47" s="12"/>
      <c r="O47" s="12"/>
      <c r="P47" s="12"/>
      <c r="Q47" s="12"/>
      <c r="R47" s="12"/>
      <c r="S47" s="12"/>
      <c r="T47" s="1"/>
      <c r="U47" s="1"/>
      <c r="V47" s="1"/>
      <c r="W47" s="1"/>
      <c r="X47" s="1"/>
      <c r="Y47" s="1"/>
      <c r="Z47" s="1"/>
      <c r="AA47" s="1"/>
      <c r="AB47" s="1"/>
      <c r="AC47" s="1"/>
      <c r="AD47" s="1"/>
      <c r="AE47" s="1"/>
      <c r="AF47" s="1"/>
      <c r="AG47" s="1"/>
      <c r="AH47" s="1"/>
    </row>
    <row r="48" spans="1:34" ht="14.25" hidden="1" x14ac:dyDescent="0.3">
      <c r="A48" s="12"/>
      <c r="B48" s="128" t="s">
        <v>44</v>
      </c>
      <c r="C48" s="129" t="str">
        <f>IF('0 Úvod'!$M$10="English",Slovnik!$D$422,Slovnik!$C$422)</f>
        <v>Celkové výkony</v>
      </c>
      <c r="D48" s="130"/>
      <c r="E48" s="1957">
        <f>E2</f>
        <v>2026</v>
      </c>
      <c r="F48" s="1957">
        <f t="shared" ref="F48:S48" si="20">E48+1</f>
        <v>2027</v>
      </c>
      <c r="G48" s="1957">
        <f t="shared" si="20"/>
        <v>2028</v>
      </c>
      <c r="H48" s="1957">
        <f t="shared" si="20"/>
        <v>2029</v>
      </c>
      <c r="I48" s="1957">
        <f t="shared" si="20"/>
        <v>2030</v>
      </c>
      <c r="J48" s="1957">
        <f t="shared" si="20"/>
        <v>2031</v>
      </c>
      <c r="K48" s="1957">
        <f t="shared" si="20"/>
        <v>2032</v>
      </c>
      <c r="L48" s="1957">
        <f t="shared" si="20"/>
        <v>2033</v>
      </c>
      <c r="M48" s="1957">
        <f t="shared" si="20"/>
        <v>2034</v>
      </c>
      <c r="N48" s="1957">
        <f t="shared" si="20"/>
        <v>2035</v>
      </c>
      <c r="O48" s="1957">
        <f t="shared" si="20"/>
        <v>2036</v>
      </c>
      <c r="P48" s="1957">
        <f t="shared" si="20"/>
        <v>2037</v>
      </c>
      <c r="Q48" s="1957">
        <f t="shared" si="20"/>
        <v>2038</v>
      </c>
      <c r="R48" s="1957">
        <f t="shared" si="20"/>
        <v>2039</v>
      </c>
      <c r="S48" s="1959">
        <f t="shared" si="20"/>
        <v>2040</v>
      </c>
      <c r="T48" s="1944"/>
      <c r="U48" s="1944"/>
      <c r="V48" s="1944"/>
      <c r="W48" s="1944"/>
      <c r="X48" s="1944"/>
      <c r="Y48" s="1944"/>
      <c r="Z48" s="1944"/>
      <c r="AA48" s="1944"/>
      <c r="AB48" s="1944"/>
      <c r="AC48" s="1944"/>
      <c r="AD48" s="1"/>
      <c r="AE48" s="1"/>
      <c r="AF48" s="1"/>
      <c r="AG48" s="1"/>
      <c r="AH48" s="1"/>
    </row>
    <row r="49" spans="1:34" ht="15" hidden="1" thickBot="1" x14ac:dyDescent="0.35">
      <c r="A49" s="12"/>
      <c r="B49" s="118" t="s">
        <v>4</v>
      </c>
      <c r="C49" s="131" t="str">
        <f>C10</f>
        <v>Scénář s projektem</v>
      </c>
      <c r="D49" s="120" t="str">
        <f>D31</f>
        <v>Celkem</v>
      </c>
      <c r="E49" s="1958"/>
      <c r="F49" s="1958"/>
      <c r="G49" s="1958"/>
      <c r="H49" s="1958"/>
      <c r="I49" s="1958"/>
      <c r="J49" s="1958"/>
      <c r="K49" s="1958"/>
      <c r="L49" s="1958"/>
      <c r="M49" s="1958"/>
      <c r="N49" s="1958"/>
      <c r="O49" s="1958"/>
      <c r="P49" s="1958"/>
      <c r="Q49" s="1958"/>
      <c r="R49" s="1958"/>
      <c r="S49" s="1960"/>
      <c r="T49" s="1944"/>
      <c r="U49" s="1944"/>
      <c r="V49" s="1944"/>
      <c r="W49" s="1944"/>
      <c r="X49" s="1944"/>
      <c r="Y49" s="1944"/>
      <c r="Z49" s="1944"/>
      <c r="AA49" s="1944"/>
      <c r="AB49" s="1944"/>
      <c r="AC49" s="1944"/>
      <c r="AD49" s="1"/>
      <c r="AE49" s="1"/>
      <c r="AF49" s="1"/>
      <c r="AG49" s="1"/>
      <c r="AH49" s="1"/>
    </row>
    <row r="50" spans="1:34" ht="14.25" hidden="1" x14ac:dyDescent="0.3">
      <c r="A50" s="284"/>
      <c r="B50" s="490"/>
      <c r="C50" s="116"/>
      <c r="D50" s="183">
        <f>SUM(E50:S50,E66:S66)</f>
        <v>0</v>
      </c>
      <c r="E50" s="14"/>
      <c r="F50" s="14"/>
      <c r="G50" s="14"/>
      <c r="H50" s="14"/>
      <c r="I50" s="14"/>
      <c r="J50" s="14"/>
      <c r="K50" s="14"/>
      <c r="L50" s="14"/>
      <c r="M50" s="14"/>
      <c r="N50" s="14"/>
      <c r="O50" s="14"/>
      <c r="P50" s="14"/>
      <c r="Q50" s="14"/>
      <c r="R50" s="14"/>
      <c r="S50" s="14"/>
      <c r="T50" s="493"/>
      <c r="U50" s="7"/>
      <c r="V50" s="7"/>
      <c r="W50" s="7"/>
      <c r="X50" s="7"/>
      <c r="Y50" s="7"/>
      <c r="Z50" s="7"/>
      <c r="AA50" s="7"/>
      <c r="AB50" s="7"/>
      <c r="AC50" s="7"/>
      <c r="AD50" s="1"/>
      <c r="AE50" s="1"/>
      <c r="AF50" s="1"/>
      <c r="AG50" s="1"/>
      <c r="AH50" s="1"/>
    </row>
    <row r="51" spans="1:34" ht="14.25" hidden="1" x14ac:dyDescent="0.3">
      <c r="A51" s="284"/>
      <c r="B51" s="490"/>
      <c r="C51" s="116"/>
      <c r="D51" s="182">
        <f t="shared" ref="D51:D61" si="21">SUM(E51:S51,E67:S67)</f>
        <v>0</v>
      </c>
      <c r="E51" s="14"/>
      <c r="F51" s="14"/>
      <c r="G51" s="14"/>
      <c r="H51" s="14"/>
      <c r="I51" s="14"/>
      <c r="J51" s="14"/>
      <c r="K51" s="14"/>
      <c r="L51" s="14"/>
      <c r="M51" s="14"/>
      <c r="N51" s="14"/>
      <c r="O51" s="14"/>
      <c r="P51" s="14"/>
      <c r="Q51" s="14"/>
      <c r="R51" s="14"/>
      <c r="S51" s="14"/>
      <c r="T51" s="493"/>
      <c r="U51" s="7"/>
      <c r="V51" s="7"/>
      <c r="W51" s="7"/>
      <c r="X51" s="7"/>
      <c r="Y51" s="7"/>
      <c r="Z51" s="7"/>
      <c r="AA51" s="7"/>
      <c r="AB51" s="7"/>
      <c r="AC51" s="7"/>
      <c r="AD51" s="1"/>
      <c r="AE51" s="1"/>
      <c r="AF51" s="1"/>
      <c r="AG51" s="1"/>
      <c r="AH51" s="1"/>
    </row>
    <row r="52" spans="1:34" ht="14.25" hidden="1" x14ac:dyDescent="0.3">
      <c r="A52" s="284"/>
      <c r="B52" s="490"/>
      <c r="C52" s="116"/>
      <c r="D52" s="182">
        <f t="shared" si="21"/>
        <v>0</v>
      </c>
      <c r="E52" s="14"/>
      <c r="F52" s="14"/>
      <c r="G52" s="14"/>
      <c r="H52" s="14"/>
      <c r="I52" s="14"/>
      <c r="J52" s="14"/>
      <c r="K52" s="14"/>
      <c r="L52" s="14"/>
      <c r="M52" s="14"/>
      <c r="N52" s="14"/>
      <c r="O52" s="14"/>
      <c r="P52" s="14"/>
      <c r="Q52" s="14"/>
      <c r="R52" s="14"/>
      <c r="S52" s="14"/>
      <c r="T52" s="493"/>
      <c r="U52" s="7"/>
      <c r="V52" s="7"/>
      <c r="W52" s="7"/>
      <c r="X52" s="7"/>
      <c r="Y52" s="7"/>
      <c r="Z52" s="7"/>
      <c r="AA52" s="7"/>
      <c r="AB52" s="7"/>
      <c r="AC52" s="7"/>
      <c r="AD52" s="1"/>
      <c r="AE52" s="1"/>
      <c r="AF52" s="1"/>
      <c r="AG52" s="1"/>
      <c r="AH52" s="1"/>
    </row>
    <row r="53" spans="1:34" ht="14.25" hidden="1" x14ac:dyDescent="0.3">
      <c r="A53" s="284"/>
      <c r="B53" s="490"/>
      <c r="C53" s="116"/>
      <c r="D53" s="182">
        <f t="shared" si="21"/>
        <v>0</v>
      </c>
      <c r="E53" s="115"/>
      <c r="F53" s="115"/>
      <c r="G53" s="115"/>
      <c r="H53" s="115"/>
      <c r="I53" s="14"/>
      <c r="J53" s="14"/>
      <c r="K53" s="14"/>
      <c r="L53" s="14"/>
      <c r="M53" s="14"/>
      <c r="N53" s="14"/>
      <c r="O53" s="14"/>
      <c r="P53" s="14"/>
      <c r="Q53" s="14"/>
      <c r="R53" s="14"/>
      <c r="S53" s="14"/>
      <c r="T53" s="493"/>
      <c r="U53" s="7"/>
      <c r="V53" s="7"/>
      <c r="W53" s="7"/>
      <c r="X53" s="7"/>
      <c r="Y53" s="7"/>
      <c r="Z53" s="7"/>
      <c r="AA53" s="7"/>
      <c r="AB53" s="7"/>
      <c r="AC53" s="7"/>
      <c r="AD53" s="1"/>
      <c r="AE53" s="1"/>
      <c r="AF53" s="1"/>
      <c r="AG53" s="1"/>
      <c r="AH53" s="1"/>
    </row>
    <row r="54" spans="1:34" ht="14.25" hidden="1" x14ac:dyDescent="0.3">
      <c r="A54" s="284"/>
      <c r="B54" s="490"/>
      <c r="C54" s="116"/>
      <c r="D54" s="182">
        <f t="shared" si="21"/>
        <v>0</v>
      </c>
      <c r="E54" s="14"/>
      <c r="F54" s="14"/>
      <c r="G54" s="14"/>
      <c r="H54" s="14"/>
      <c r="I54" s="14"/>
      <c r="J54" s="14"/>
      <c r="K54" s="14"/>
      <c r="L54" s="14"/>
      <c r="M54" s="14"/>
      <c r="N54" s="14"/>
      <c r="O54" s="14"/>
      <c r="P54" s="14"/>
      <c r="Q54" s="14"/>
      <c r="R54" s="14"/>
      <c r="S54" s="14"/>
      <c r="T54" s="493"/>
      <c r="U54" s="7"/>
      <c r="V54" s="7"/>
      <c r="W54" s="7"/>
      <c r="X54" s="7"/>
      <c r="Y54" s="7"/>
      <c r="Z54" s="7"/>
      <c r="AA54" s="7"/>
      <c r="AB54" s="7"/>
      <c r="AC54" s="7"/>
      <c r="AD54" s="1"/>
      <c r="AE54" s="1"/>
      <c r="AF54" s="1"/>
      <c r="AG54" s="1"/>
      <c r="AH54" s="1"/>
    </row>
    <row r="55" spans="1:34" ht="14.25" hidden="1" x14ac:dyDescent="0.3">
      <c r="A55" s="284"/>
      <c r="B55" s="490"/>
      <c r="C55" s="116"/>
      <c r="D55" s="182">
        <f t="shared" si="21"/>
        <v>0</v>
      </c>
      <c r="E55" s="14"/>
      <c r="F55" s="14"/>
      <c r="G55" s="14"/>
      <c r="H55" s="14"/>
      <c r="I55" s="14"/>
      <c r="J55" s="14"/>
      <c r="K55" s="14"/>
      <c r="L55" s="14"/>
      <c r="M55" s="14"/>
      <c r="N55" s="14"/>
      <c r="O55" s="14"/>
      <c r="P55" s="14"/>
      <c r="Q55" s="14"/>
      <c r="R55" s="14"/>
      <c r="S55" s="14"/>
      <c r="T55" s="493"/>
      <c r="U55" s="7"/>
      <c r="V55" s="7"/>
      <c r="W55" s="7"/>
      <c r="X55" s="7"/>
      <c r="Y55" s="7"/>
      <c r="Z55" s="7"/>
      <c r="AA55" s="7"/>
      <c r="AB55" s="7"/>
      <c r="AC55" s="7"/>
      <c r="AD55" s="1"/>
      <c r="AE55" s="1"/>
      <c r="AF55" s="1"/>
      <c r="AG55" s="1"/>
      <c r="AH55" s="1"/>
    </row>
    <row r="56" spans="1:34" ht="14.25" hidden="1" x14ac:dyDescent="0.3">
      <c r="A56" s="284"/>
      <c r="B56" s="490"/>
      <c r="C56" s="116"/>
      <c r="D56" s="182">
        <f t="shared" si="21"/>
        <v>0</v>
      </c>
      <c r="E56" s="115"/>
      <c r="F56" s="115"/>
      <c r="G56" s="115"/>
      <c r="H56" s="115"/>
      <c r="I56" s="14"/>
      <c r="J56" s="14"/>
      <c r="K56" s="14"/>
      <c r="L56" s="14"/>
      <c r="M56" s="14"/>
      <c r="N56" s="14"/>
      <c r="O56" s="14"/>
      <c r="P56" s="14"/>
      <c r="Q56" s="14"/>
      <c r="R56" s="14"/>
      <c r="S56" s="14"/>
      <c r="T56" s="493"/>
      <c r="U56" s="7"/>
      <c r="V56" s="7"/>
      <c r="W56" s="7"/>
      <c r="X56" s="7"/>
      <c r="Y56" s="7"/>
      <c r="Z56" s="7"/>
      <c r="AA56" s="7"/>
      <c r="AB56" s="7"/>
      <c r="AC56" s="7"/>
      <c r="AD56" s="1"/>
      <c r="AE56" s="1"/>
      <c r="AF56" s="1"/>
      <c r="AG56" s="1"/>
      <c r="AH56" s="1"/>
    </row>
    <row r="57" spans="1:34" ht="14.25" hidden="1" x14ac:dyDescent="0.3">
      <c r="A57" s="284"/>
      <c r="B57" s="490"/>
      <c r="C57" s="116"/>
      <c r="D57" s="182">
        <f t="shared" si="21"/>
        <v>0</v>
      </c>
      <c r="E57" s="115"/>
      <c r="F57" s="115"/>
      <c r="G57" s="115"/>
      <c r="H57" s="115"/>
      <c r="I57" s="14"/>
      <c r="J57" s="14"/>
      <c r="K57" s="14"/>
      <c r="L57" s="14"/>
      <c r="M57" s="14"/>
      <c r="N57" s="14"/>
      <c r="O57" s="14"/>
      <c r="P57" s="14"/>
      <c r="Q57" s="14"/>
      <c r="R57" s="14"/>
      <c r="S57" s="14"/>
      <c r="T57" s="493"/>
      <c r="U57" s="7"/>
      <c r="V57" s="7"/>
      <c r="W57" s="7"/>
      <c r="X57" s="7"/>
      <c r="Y57" s="7"/>
      <c r="Z57" s="7"/>
      <c r="AA57" s="7"/>
      <c r="AB57" s="7"/>
      <c r="AC57" s="7"/>
      <c r="AD57" s="1"/>
      <c r="AE57" s="1"/>
      <c r="AF57" s="1"/>
      <c r="AG57" s="1"/>
      <c r="AH57" s="1"/>
    </row>
    <row r="58" spans="1:34" ht="14.25" hidden="1" x14ac:dyDescent="0.3">
      <c r="A58" s="284"/>
      <c r="B58" s="490"/>
      <c r="C58" s="116"/>
      <c r="D58" s="182">
        <f t="shared" si="21"/>
        <v>0</v>
      </c>
      <c r="E58" s="115"/>
      <c r="F58" s="115"/>
      <c r="G58" s="115"/>
      <c r="H58" s="115"/>
      <c r="I58" s="14"/>
      <c r="J58" s="14"/>
      <c r="K58" s="14"/>
      <c r="L58" s="14"/>
      <c r="M58" s="14"/>
      <c r="N58" s="14"/>
      <c r="O58" s="14"/>
      <c r="P58" s="14"/>
      <c r="Q58" s="14"/>
      <c r="R58" s="14"/>
      <c r="S58" s="14"/>
      <c r="T58" s="493"/>
      <c r="U58" s="7"/>
      <c r="V58" s="7"/>
      <c r="W58" s="7"/>
      <c r="X58" s="7"/>
      <c r="Y58" s="7"/>
      <c r="Z58" s="7"/>
      <c r="AA58" s="7"/>
      <c r="AB58" s="7"/>
      <c r="AC58" s="7"/>
      <c r="AD58" s="1"/>
      <c r="AE58" s="1"/>
      <c r="AF58" s="1"/>
      <c r="AG58" s="1"/>
      <c r="AH58" s="1"/>
    </row>
    <row r="59" spans="1:34" ht="14.25" hidden="1" x14ac:dyDescent="0.3">
      <c r="A59" s="284"/>
      <c r="B59" s="490"/>
      <c r="C59" s="116"/>
      <c r="D59" s="182">
        <f t="shared" si="21"/>
        <v>0</v>
      </c>
      <c r="E59" s="115"/>
      <c r="F59" s="115"/>
      <c r="G59" s="115"/>
      <c r="H59" s="115"/>
      <c r="I59" s="14"/>
      <c r="J59" s="14"/>
      <c r="K59" s="14"/>
      <c r="L59" s="14"/>
      <c r="M59" s="14"/>
      <c r="N59" s="14"/>
      <c r="O59" s="14"/>
      <c r="P59" s="14"/>
      <c r="Q59" s="14"/>
      <c r="R59" s="14"/>
      <c r="S59" s="14"/>
      <c r="T59" s="493"/>
      <c r="U59" s="7"/>
      <c r="V59" s="7"/>
      <c r="W59" s="7"/>
      <c r="X59" s="7"/>
      <c r="Y59" s="7"/>
      <c r="Z59" s="7"/>
      <c r="AA59" s="7"/>
      <c r="AB59" s="7"/>
      <c r="AC59" s="7"/>
      <c r="AD59" s="1"/>
      <c r="AE59" s="1"/>
      <c r="AF59" s="1"/>
      <c r="AG59" s="1"/>
      <c r="AH59" s="1"/>
    </row>
    <row r="60" spans="1:34" ht="14.25" hidden="1" x14ac:dyDescent="0.3">
      <c r="A60" s="284"/>
      <c r="B60" s="490"/>
      <c r="C60" s="116"/>
      <c r="D60" s="182">
        <f t="shared" si="21"/>
        <v>0</v>
      </c>
      <c r="E60" s="115"/>
      <c r="F60" s="115"/>
      <c r="G60" s="115"/>
      <c r="H60" s="115"/>
      <c r="I60" s="14"/>
      <c r="J60" s="14"/>
      <c r="K60" s="14"/>
      <c r="L60" s="14"/>
      <c r="M60" s="14"/>
      <c r="N60" s="14"/>
      <c r="O60" s="14"/>
      <c r="P60" s="14"/>
      <c r="Q60" s="14"/>
      <c r="R60" s="14"/>
      <c r="S60" s="14"/>
      <c r="T60" s="493"/>
      <c r="U60" s="7"/>
      <c r="V60" s="7"/>
      <c r="W60" s="7"/>
      <c r="X60" s="7"/>
      <c r="Y60" s="7"/>
      <c r="Z60" s="7"/>
      <c r="AA60" s="7"/>
      <c r="AB60" s="7"/>
      <c r="AC60" s="7"/>
      <c r="AD60" s="1"/>
      <c r="AE60" s="1"/>
      <c r="AF60" s="1"/>
      <c r="AG60" s="1"/>
      <c r="AH60" s="1"/>
    </row>
    <row r="61" spans="1:34" ht="15" hidden="1" thickBot="1" x14ac:dyDescent="0.35">
      <c r="A61" s="284"/>
      <c r="B61" s="490"/>
      <c r="C61" s="116"/>
      <c r="D61" s="184">
        <f t="shared" si="21"/>
        <v>0</v>
      </c>
      <c r="E61" s="115"/>
      <c r="F61" s="115"/>
      <c r="G61" s="115"/>
      <c r="H61" s="115"/>
      <c r="I61" s="115"/>
      <c r="J61" s="115"/>
      <c r="K61" s="115"/>
      <c r="L61" s="115"/>
      <c r="M61" s="115"/>
      <c r="N61" s="115"/>
      <c r="O61" s="115"/>
      <c r="P61" s="115"/>
      <c r="Q61" s="115"/>
      <c r="R61" s="115"/>
      <c r="S61" s="115"/>
      <c r="T61" s="494"/>
      <c r="U61" s="9"/>
      <c r="V61" s="9"/>
      <c r="W61" s="9"/>
      <c r="X61" s="9"/>
      <c r="Y61" s="9"/>
      <c r="Z61" s="9"/>
      <c r="AA61" s="9"/>
      <c r="AB61" s="9"/>
      <c r="AC61" s="7"/>
    </row>
    <row r="62" spans="1:34" ht="13.5" hidden="1" x14ac:dyDescent="0.3">
      <c r="A62" s="12"/>
      <c r="B62" s="499"/>
      <c r="C62" s="497"/>
      <c r="D62" s="104"/>
      <c r="E62" s="496"/>
      <c r="F62" s="496"/>
      <c r="G62" s="496"/>
      <c r="H62" s="496"/>
      <c r="I62" s="496"/>
      <c r="J62" s="496"/>
      <c r="K62" s="496"/>
      <c r="L62" s="496"/>
      <c r="M62" s="496"/>
      <c r="N62" s="496"/>
      <c r="O62" s="496"/>
      <c r="P62" s="496"/>
      <c r="Q62" s="496"/>
      <c r="R62" s="496"/>
      <c r="S62" s="496"/>
      <c r="T62" s="7"/>
      <c r="U62" s="7"/>
      <c r="V62" s="7"/>
      <c r="W62" s="7"/>
      <c r="X62" s="7"/>
      <c r="Y62" s="7"/>
      <c r="Z62" s="7"/>
      <c r="AA62" s="7"/>
      <c r="AB62" s="7"/>
      <c r="AC62" s="7"/>
    </row>
    <row r="63" spans="1:34" ht="14.25" hidden="1" thickBot="1" x14ac:dyDescent="0.35">
      <c r="A63" s="12"/>
      <c r="B63" s="103"/>
      <c r="C63" s="12"/>
      <c r="D63" s="104"/>
      <c r="E63" s="102"/>
      <c r="F63" s="102"/>
      <c r="G63" s="102"/>
      <c r="H63" s="102"/>
      <c r="I63" s="102"/>
      <c r="J63" s="102"/>
      <c r="K63" s="102"/>
      <c r="L63" s="102"/>
      <c r="M63" s="102"/>
      <c r="N63" s="102"/>
      <c r="O63" s="102"/>
      <c r="P63" s="102"/>
      <c r="Q63" s="102"/>
      <c r="R63" s="102"/>
      <c r="S63" s="102"/>
      <c r="T63" s="7"/>
      <c r="U63" s="7"/>
      <c r="V63" s="7"/>
      <c r="W63" s="7"/>
      <c r="X63" s="7"/>
      <c r="Y63" s="7"/>
      <c r="Z63" s="7"/>
      <c r="AA63" s="7"/>
      <c r="AB63" s="7"/>
      <c r="AC63" s="7"/>
    </row>
    <row r="64" spans="1:34" ht="14.25" hidden="1" x14ac:dyDescent="0.3">
      <c r="A64" s="12"/>
      <c r="B64" s="128" t="str">
        <f>B48</f>
        <v>8.4.</v>
      </c>
      <c r="C64" s="15" t="str">
        <f>C48</f>
        <v>Celkové výkony</v>
      </c>
      <c r="D64" s="16"/>
      <c r="E64" s="1955">
        <f>S48+1</f>
        <v>2041</v>
      </c>
      <c r="F64" s="1957">
        <f t="shared" ref="F64:S64" si="22">E64+1</f>
        <v>2042</v>
      </c>
      <c r="G64" s="1957">
        <f t="shared" si="22"/>
        <v>2043</v>
      </c>
      <c r="H64" s="1957">
        <f t="shared" si="22"/>
        <v>2044</v>
      </c>
      <c r="I64" s="1957">
        <f t="shared" si="22"/>
        <v>2045</v>
      </c>
      <c r="J64" s="1957">
        <f t="shared" si="22"/>
        <v>2046</v>
      </c>
      <c r="K64" s="1957">
        <f t="shared" si="22"/>
        <v>2047</v>
      </c>
      <c r="L64" s="1957">
        <f t="shared" si="22"/>
        <v>2048</v>
      </c>
      <c r="M64" s="1957">
        <f t="shared" si="22"/>
        <v>2049</v>
      </c>
      <c r="N64" s="1957">
        <f t="shared" si="22"/>
        <v>2050</v>
      </c>
      <c r="O64" s="1957">
        <f t="shared" si="22"/>
        <v>2051</v>
      </c>
      <c r="P64" s="1957">
        <f t="shared" si="22"/>
        <v>2052</v>
      </c>
      <c r="Q64" s="1957">
        <f t="shared" si="22"/>
        <v>2053</v>
      </c>
      <c r="R64" s="1957">
        <f t="shared" si="22"/>
        <v>2054</v>
      </c>
      <c r="S64" s="1959">
        <f t="shared" si="22"/>
        <v>2055</v>
      </c>
      <c r="T64" s="1944"/>
      <c r="U64" s="1944"/>
      <c r="V64" s="1944"/>
      <c r="W64" s="1944"/>
      <c r="X64" s="1944"/>
      <c r="Y64" s="1944"/>
      <c r="Z64" s="1944"/>
      <c r="AA64" s="1944"/>
      <c r="AB64" s="1944"/>
      <c r="AC64" s="1944"/>
    </row>
    <row r="65" spans="1:29" ht="15" hidden="1" thickBot="1" x14ac:dyDescent="0.35">
      <c r="A65" s="12"/>
      <c r="B65" s="118" t="s">
        <v>5</v>
      </c>
      <c r="C65" s="119" t="str">
        <f>C49</f>
        <v>Scénář s projektem</v>
      </c>
      <c r="D65" s="122"/>
      <c r="E65" s="1956"/>
      <c r="F65" s="1958"/>
      <c r="G65" s="1958"/>
      <c r="H65" s="1958"/>
      <c r="I65" s="1958"/>
      <c r="J65" s="1958"/>
      <c r="K65" s="1958"/>
      <c r="L65" s="1958"/>
      <c r="M65" s="1958"/>
      <c r="N65" s="1958"/>
      <c r="O65" s="1958"/>
      <c r="P65" s="1958"/>
      <c r="Q65" s="1958"/>
      <c r="R65" s="1958"/>
      <c r="S65" s="1960"/>
      <c r="T65" s="1944"/>
      <c r="U65" s="1944"/>
      <c r="V65" s="1944"/>
      <c r="W65" s="1944"/>
      <c r="X65" s="1944"/>
      <c r="Y65" s="1944"/>
      <c r="Z65" s="1944"/>
      <c r="AA65" s="1944"/>
      <c r="AB65" s="1944"/>
      <c r="AC65" s="1944"/>
    </row>
    <row r="66" spans="1:29" ht="14.25" hidden="1" x14ac:dyDescent="0.3">
      <c r="A66" s="12"/>
      <c r="B66" s="135">
        <f t="shared" ref="B66:C77" si="23">B50</f>
        <v>0</v>
      </c>
      <c r="C66" s="136">
        <f t="shared" si="23"/>
        <v>0</v>
      </c>
      <c r="D66" s="488"/>
      <c r="E66" s="14"/>
      <c r="F66" s="14"/>
      <c r="G66" s="14"/>
      <c r="H66" s="14"/>
      <c r="I66" s="14"/>
      <c r="J66" s="14"/>
      <c r="K66" s="14"/>
      <c r="L66" s="14"/>
      <c r="M66" s="14"/>
      <c r="N66" s="14"/>
      <c r="O66" s="14"/>
      <c r="P66" s="14"/>
      <c r="Q66" s="14"/>
      <c r="R66" s="14"/>
      <c r="S66" s="14"/>
      <c r="T66" s="493"/>
      <c r="U66" s="7"/>
      <c r="V66" s="7"/>
      <c r="W66" s="7"/>
      <c r="X66" s="7"/>
      <c r="Y66" s="7"/>
      <c r="Z66" s="7"/>
      <c r="AA66" s="7"/>
      <c r="AB66" s="7"/>
      <c r="AC66" s="7"/>
    </row>
    <row r="67" spans="1:29" ht="14.25" hidden="1" x14ac:dyDescent="0.3">
      <c r="A67" s="12"/>
      <c r="B67" s="135">
        <f t="shared" si="23"/>
        <v>0</v>
      </c>
      <c r="C67" s="136">
        <f t="shared" si="23"/>
        <v>0</v>
      </c>
      <c r="D67" s="121"/>
      <c r="E67" s="115"/>
      <c r="F67" s="115"/>
      <c r="G67" s="115"/>
      <c r="H67" s="115"/>
      <c r="I67" s="115"/>
      <c r="J67" s="14"/>
      <c r="K67" s="14"/>
      <c r="L67" s="14"/>
      <c r="M67" s="14"/>
      <c r="N67" s="14"/>
      <c r="O67" s="14"/>
      <c r="P67" s="14"/>
      <c r="Q67" s="14"/>
      <c r="R67" s="14"/>
      <c r="S67" s="14"/>
      <c r="T67" s="493"/>
      <c r="U67" s="7"/>
      <c r="V67" s="7"/>
      <c r="W67" s="7"/>
      <c r="X67" s="7"/>
      <c r="Y67" s="7"/>
      <c r="Z67" s="7"/>
      <c r="AA67" s="7"/>
      <c r="AB67" s="7"/>
      <c r="AC67" s="7"/>
    </row>
    <row r="68" spans="1:29" ht="14.25" hidden="1" x14ac:dyDescent="0.3">
      <c r="A68" s="12"/>
      <c r="B68" s="135">
        <f t="shared" si="23"/>
        <v>0</v>
      </c>
      <c r="C68" s="136">
        <f t="shared" si="23"/>
        <v>0</v>
      </c>
      <c r="D68" s="121"/>
      <c r="E68" s="115"/>
      <c r="F68" s="115"/>
      <c r="G68" s="115"/>
      <c r="H68" s="115"/>
      <c r="I68" s="115"/>
      <c r="J68" s="14"/>
      <c r="K68" s="14"/>
      <c r="L68" s="14"/>
      <c r="M68" s="14"/>
      <c r="N68" s="14"/>
      <c r="O68" s="14"/>
      <c r="P68" s="14"/>
      <c r="Q68" s="14"/>
      <c r="R68" s="14"/>
      <c r="S68" s="14"/>
      <c r="T68" s="493"/>
      <c r="U68" s="7"/>
      <c r="V68" s="7"/>
      <c r="W68" s="7"/>
      <c r="X68" s="7"/>
      <c r="Y68" s="7"/>
      <c r="Z68" s="7"/>
      <c r="AA68" s="7"/>
      <c r="AB68" s="7"/>
      <c r="AC68" s="7"/>
    </row>
    <row r="69" spans="1:29" ht="14.25" hidden="1" x14ac:dyDescent="0.3">
      <c r="A69" s="12"/>
      <c r="B69" s="135">
        <f t="shared" si="23"/>
        <v>0</v>
      </c>
      <c r="C69" s="136">
        <f t="shared" si="23"/>
        <v>0</v>
      </c>
      <c r="D69" s="121"/>
      <c r="E69" s="115"/>
      <c r="F69" s="115"/>
      <c r="G69" s="115"/>
      <c r="H69" s="115"/>
      <c r="I69" s="115"/>
      <c r="J69" s="14"/>
      <c r="K69" s="14"/>
      <c r="L69" s="14"/>
      <c r="M69" s="14"/>
      <c r="N69" s="14"/>
      <c r="O69" s="14"/>
      <c r="P69" s="14"/>
      <c r="Q69" s="14"/>
      <c r="R69" s="14"/>
      <c r="S69" s="14"/>
      <c r="T69" s="493"/>
      <c r="U69" s="7"/>
      <c r="V69" s="7"/>
      <c r="W69" s="7"/>
      <c r="X69" s="7"/>
      <c r="Y69" s="7"/>
      <c r="Z69" s="7"/>
      <c r="AA69" s="7"/>
      <c r="AB69" s="7"/>
      <c r="AC69" s="7"/>
    </row>
    <row r="70" spans="1:29" ht="14.25" hidden="1" x14ac:dyDescent="0.3">
      <c r="A70" s="12"/>
      <c r="B70" s="135">
        <f t="shared" si="23"/>
        <v>0</v>
      </c>
      <c r="C70" s="136">
        <f t="shared" si="23"/>
        <v>0</v>
      </c>
      <c r="D70" s="121"/>
      <c r="E70" s="115"/>
      <c r="F70" s="115"/>
      <c r="G70" s="115"/>
      <c r="H70" s="115"/>
      <c r="I70" s="115"/>
      <c r="J70" s="14"/>
      <c r="K70" s="14"/>
      <c r="L70" s="14"/>
      <c r="M70" s="14"/>
      <c r="N70" s="14"/>
      <c r="O70" s="14"/>
      <c r="P70" s="14"/>
      <c r="Q70" s="14"/>
      <c r="R70" s="14"/>
      <c r="S70" s="14"/>
      <c r="T70" s="493"/>
      <c r="U70" s="7"/>
      <c r="V70" s="7"/>
      <c r="W70" s="7"/>
      <c r="X70" s="7"/>
      <c r="Y70" s="7"/>
      <c r="Z70" s="7"/>
      <c r="AA70" s="7"/>
      <c r="AB70" s="7"/>
      <c r="AC70" s="7"/>
    </row>
    <row r="71" spans="1:29" ht="14.25" hidden="1" x14ac:dyDescent="0.3">
      <c r="A71" s="12"/>
      <c r="B71" s="135">
        <f t="shared" si="23"/>
        <v>0</v>
      </c>
      <c r="C71" s="136">
        <f t="shared" si="23"/>
        <v>0</v>
      </c>
      <c r="D71" s="121"/>
      <c r="E71" s="115"/>
      <c r="F71" s="115"/>
      <c r="G71" s="115"/>
      <c r="H71" s="115"/>
      <c r="I71" s="115"/>
      <c r="J71" s="14"/>
      <c r="K71" s="14"/>
      <c r="L71" s="14"/>
      <c r="M71" s="14"/>
      <c r="N71" s="14"/>
      <c r="O71" s="14"/>
      <c r="P71" s="14"/>
      <c r="Q71" s="14"/>
      <c r="R71" s="14"/>
      <c r="S71" s="14"/>
      <c r="T71" s="493"/>
      <c r="U71" s="7"/>
      <c r="V71" s="7"/>
      <c r="W71" s="7"/>
      <c r="X71" s="7"/>
      <c r="Y71" s="7"/>
      <c r="Z71" s="7"/>
      <c r="AA71" s="7"/>
      <c r="AB71" s="7"/>
      <c r="AC71" s="7"/>
    </row>
    <row r="72" spans="1:29" ht="14.25" hidden="1" x14ac:dyDescent="0.3">
      <c r="A72" s="12"/>
      <c r="B72" s="135">
        <f t="shared" si="23"/>
        <v>0</v>
      </c>
      <c r="C72" s="136">
        <f t="shared" si="23"/>
        <v>0</v>
      </c>
      <c r="D72" s="121"/>
      <c r="E72" s="115"/>
      <c r="F72" s="115"/>
      <c r="G72" s="115"/>
      <c r="H72" s="115"/>
      <c r="I72" s="115"/>
      <c r="J72" s="14"/>
      <c r="K72" s="14"/>
      <c r="L72" s="14"/>
      <c r="M72" s="14"/>
      <c r="N72" s="14"/>
      <c r="O72" s="14"/>
      <c r="P72" s="14"/>
      <c r="Q72" s="14"/>
      <c r="R72" s="14"/>
      <c r="S72" s="14"/>
      <c r="T72" s="493"/>
      <c r="U72" s="7"/>
      <c r="V72" s="7"/>
      <c r="W72" s="7"/>
      <c r="X72" s="7"/>
      <c r="Y72" s="7"/>
      <c r="Z72" s="7"/>
      <c r="AA72" s="7"/>
      <c r="AB72" s="7"/>
      <c r="AC72" s="7"/>
    </row>
    <row r="73" spans="1:29" ht="14.25" hidden="1" x14ac:dyDescent="0.3">
      <c r="A73" s="12"/>
      <c r="B73" s="135">
        <f t="shared" si="23"/>
        <v>0</v>
      </c>
      <c r="C73" s="136">
        <f t="shared" si="23"/>
        <v>0</v>
      </c>
      <c r="D73" s="121"/>
      <c r="E73" s="115"/>
      <c r="F73" s="115"/>
      <c r="G73" s="115"/>
      <c r="H73" s="115"/>
      <c r="I73" s="115"/>
      <c r="J73" s="14"/>
      <c r="K73" s="14"/>
      <c r="L73" s="14"/>
      <c r="M73" s="14"/>
      <c r="N73" s="14"/>
      <c r="O73" s="14"/>
      <c r="P73" s="14"/>
      <c r="Q73" s="14"/>
      <c r="R73" s="14"/>
      <c r="S73" s="14"/>
      <c r="T73" s="493"/>
      <c r="U73" s="7"/>
      <c r="V73" s="7"/>
      <c r="W73" s="7"/>
      <c r="X73" s="7"/>
      <c r="Y73" s="7"/>
      <c r="Z73" s="7"/>
      <c r="AA73" s="7"/>
      <c r="AB73" s="7"/>
      <c r="AC73" s="7"/>
    </row>
    <row r="74" spans="1:29" ht="14.25" hidden="1" x14ac:dyDescent="0.3">
      <c r="A74" s="12"/>
      <c r="B74" s="135">
        <f t="shared" si="23"/>
        <v>0</v>
      </c>
      <c r="C74" s="136">
        <f t="shared" si="23"/>
        <v>0</v>
      </c>
      <c r="D74" s="121"/>
      <c r="E74" s="115"/>
      <c r="F74" s="115"/>
      <c r="G74" s="115"/>
      <c r="H74" s="115"/>
      <c r="I74" s="115"/>
      <c r="J74" s="14"/>
      <c r="K74" s="14"/>
      <c r="L74" s="14"/>
      <c r="M74" s="14"/>
      <c r="N74" s="14"/>
      <c r="O74" s="14"/>
      <c r="P74" s="14"/>
      <c r="Q74" s="14"/>
      <c r="R74" s="14"/>
      <c r="S74" s="14"/>
      <c r="T74" s="493"/>
      <c r="U74" s="7"/>
      <c r="V74" s="7"/>
      <c r="W74" s="7"/>
      <c r="X74" s="7"/>
      <c r="Y74" s="7"/>
      <c r="Z74" s="7"/>
      <c r="AA74" s="7"/>
      <c r="AB74" s="7"/>
      <c r="AC74" s="7"/>
    </row>
    <row r="75" spans="1:29" ht="14.25" hidden="1" x14ac:dyDescent="0.3">
      <c r="A75" s="12"/>
      <c r="B75" s="135">
        <f t="shared" si="23"/>
        <v>0</v>
      </c>
      <c r="C75" s="136">
        <f t="shared" si="23"/>
        <v>0</v>
      </c>
      <c r="D75" s="121"/>
      <c r="E75" s="115"/>
      <c r="F75" s="115"/>
      <c r="G75" s="115"/>
      <c r="H75" s="115"/>
      <c r="I75" s="115"/>
      <c r="J75" s="14"/>
      <c r="K75" s="14"/>
      <c r="L75" s="14"/>
      <c r="M75" s="14"/>
      <c r="N75" s="14"/>
      <c r="O75" s="14"/>
      <c r="P75" s="14"/>
      <c r="Q75" s="14"/>
      <c r="R75" s="14"/>
      <c r="S75" s="14"/>
      <c r="T75" s="493"/>
      <c r="U75" s="7"/>
      <c r="V75" s="7"/>
      <c r="W75" s="7"/>
      <c r="X75" s="7"/>
      <c r="Y75" s="7"/>
      <c r="Z75" s="7"/>
      <c r="AA75" s="7"/>
      <c r="AB75" s="7"/>
      <c r="AC75" s="7"/>
    </row>
    <row r="76" spans="1:29" ht="14.25" hidden="1" x14ac:dyDescent="0.3">
      <c r="A76" s="12"/>
      <c r="B76" s="135">
        <f t="shared" si="23"/>
        <v>0</v>
      </c>
      <c r="C76" s="136">
        <f t="shared" si="23"/>
        <v>0</v>
      </c>
      <c r="D76" s="121"/>
      <c r="E76" s="115"/>
      <c r="F76" s="115"/>
      <c r="G76" s="115"/>
      <c r="H76" s="115"/>
      <c r="I76" s="115"/>
      <c r="J76" s="14"/>
      <c r="K76" s="14"/>
      <c r="L76" s="14"/>
      <c r="M76" s="14"/>
      <c r="N76" s="14"/>
      <c r="O76" s="14"/>
      <c r="P76" s="14"/>
      <c r="Q76" s="14"/>
      <c r="R76" s="14"/>
      <c r="S76" s="14"/>
      <c r="T76" s="493"/>
      <c r="U76" s="7"/>
      <c r="V76" s="7"/>
      <c r="W76" s="7"/>
      <c r="X76" s="7"/>
      <c r="Y76" s="7"/>
      <c r="Z76" s="7"/>
      <c r="AA76" s="7"/>
      <c r="AB76" s="7"/>
      <c r="AC76" s="7"/>
    </row>
    <row r="77" spans="1:29" ht="15" hidden="1" thickBot="1" x14ac:dyDescent="0.35">
      <c r="A77" s="12"/>
      <c r="B77" s="137">
        <f t="shared" si="23"/>
        <v>0</v>
      </c>
      <c r="C77" s="138">
        <f t="shared" si="23"/>
        <v>0</v>
      </c>
      <c r="D77" s="498"/>
      <c r="E77" s="115"/>
      <c r="F77" s="115"/>
      <c r="G77" s="115"/>
      <c r="H77" s="115"/>
      <c r="I77" s="115"/>
      <c r="J77" s="14"/>
      <c r="K77" s="14"/>
      <c r="L77" s="14"/>
      <c r="M77" s="14"/>
      <c r="N77" s="14"/>
      <c r="O77" s="14"/>
      <c r="P77" s="14"/>
      <c r="Q77" s="14"/>
      <c r="R77" s="14"/>
      <c r="S77" s="14"/>
      <c r="T77" s="493"/>
      <c r="U77" s="7"/>
      <c r="V77" s="7"/>
      <c r="W77" s="7"/>
      <c r="X77" s="7"/>
      <c r="Y77" s="7"/>
      <c r="Z77" s="7"/>
      <c r="AA77" s="7"/>
      <c r="AB77" s="7"/>
      <c r="AC77" s="7"/>
    </row>
    <row r="78" spans="1:29" ht="14.25" hidden="1" x14ac:dyDescent="0.3">
      <c r="A78" s="12"/>
      <c r="B78" s="105"/>
      <c r="C78" s="106"/>
      <c r="D78" s="107"/>
      <c r="E78" s="495"/>
      <c r="F78" s="495"/>
      <c r="G78" s="495"/>
      <c r="H78" s="495"/>
      <c r="I78" s="495"/>
      <c r="J78" s="495"/>
      <c r="K78" s="495"/>
      <c r="L78" s="495"/>
      <c r="M78" s="495"/>
      <c r="N78" s="495"/>
      <c r="O78" s="495"/>
      <c r="P78" s="495"/>
      <c r="Q78" s="495"/>
      <c r="R78" s="495"/>
      <c r="S78" s="495"/>
      <c r="T78" s="3"/>
      <c r="U78" s="3"/>
      <c r="V78" s="3"/>
      <c r="W78" s="3"/>
      <c r="X78" s="3"/>
      <c r="Y78" s="3"/>
      <c r="Z78" s="3"/>
      <c r="AA78" s="3"/>
      <c r="AB78" s="3"/>
      <c r="AC78" s="3"/>
    </row>
    <row r="79" spans="1:29" ht="14.25" hidden="1" thickBot="1" x14ac:dyDescent="0.35">
      <c r="A79" s="12"/>
      <c r="B79" s="105"/>
      <c r="C79" s="12"/>
      <c r="D79" s="102"/>
      <c r="E79" s="102"/>
      <c r="F79" s="102"/>
      <c r="G79" s="102"/>
      <c r="H79" s="102"/>
      <c r="I79" s="102"/>
      <c r="J79" s="102"/>
      <c r="K79" s="102"/>
      <c r="L79" s="102"/>
      <c r="M79" s="102"/>
      <c r="N79" s="102"/>
      <c r="O79" s="102"/>
      <c r="P79" s="102"/>
      <c r="Q79" s="102"/>
      <c r="R79" s="102"/>
      <c r="S79" s="102"/>
      <c r="T79" s="7"/>
      <c r="U79" s="7"/>
      <c r="V79" s="7"/>
      <c r="W79" s="7"/>
      <c r="X79" s="7"/>
      <c r="Y79" s="7"/>
      <c r="Z79" s="7"/>
      <c r="AA79" s="7"/>
      <c r="AB79" s="7"/>
      <c r="AC79" s="7"/>
    </row>
    <row r="80" spans="1:29" ht="14.25" hidden="1" x14ac:dyDescent="0.3">
      <c r="A80" s="12"/>
      <c r="B80" s="132" t="s">
        <v>45</v>
      </c>
      <c r="C80" s="124" t="str">
        <f>C64</f>
        <v>Celkové výkony</v>
      </c>
      <c r="D80" s="125"/>
      <c r="E80" s="1945">
        <f>E48</f>
        <v>2026</v>
      </c>
      <c r="F80" s="1945">
        <f t="shared" ref="F80:S80" si="24">E80+1</f>
        <v>2027</v>
      </c>
      <c r="G80" s="1945">
        <f t="shared" si="24"/>
        <v>2028</v>
      </c>
      <c r="H80" s="1945">
        <f t="shared" si="24"/>
        <v>2029</v>
      </c>
      <c r="I80" s="1945">
        <f t="shared" si="24"/>
        <v>2030</v>
      </c>
      <c r="J80" s="1945">
        <f t="shared" si="24"/>
        <v>2031</v>
      </c>
      <c r="K80" s="1945">
        <f t="shared" si="24"/>
        <v>2032</v>
      </c>
      <c r="L80" s="1945">
        <f t="shared" si="24"/>
        <v>2033</v>
      </c>
      <c r="M80" s="1945">
        <f t="shared" si="24"/>
        <v>2034</v>
      </c>
      <c r="N80" s="1945">
        <f t="shared" si="24"/>
        <v>2035</v>
      </c>
      <c r="O80" s="1945">
        <f t="shared" si="24"/>
        <v>2036</v>
      </c>
      <c r="P80" s="1945">
        <f t="shared" si="24"/>
        <v>2037</v>
      </c>
      <c r="Q80" s="1945">
        <f t="shared" si="24"/>
        <v>2038</v>
      </c>
      <c r="R80" s="1945">
        <f t="shared" si="24"/>
        <v>2039</v>
      </c>
      <c r="S80" s="1967">
        <f t="shared" si="24"/>
        <v>2040</v>
      </c>
      <c r="T80" s="1944"/>
      <c r="U80" s="1944"/>
      <c r="V80" s="1944"/>
      <c r="W80" s="1944"/>
      <c r="X80" s="1944"/>
      <c r="Y80" s="1944"/>
      <c r="Z80" s="1944"/>
      <c r="AA80" s="1944"/>
      <c r="AB80" s="1944"/>
      <c r="AC80" s="1944"/>
    </row>
    <row r="81" spans="1:29" ht="15" hidden="1" thickBot="1" x14ac:dyDescent="0.35">
      <c r="A81" s="12"/>
      <c r="B81" s="492" t="s">
        <v>4</v>
      </c>
      <c r="C81" s="126" t="str">
        <f>C24</f>
        <v>Scénář bez projektu</v>
      </c>
      <c r="D81" s="133" t="str">
        <f>D49</f>
        <v>Celkem</v>
      </c>
      <c r="E81" s="1946"/>
      <c r="F81" s="1946"/>
      <c r="G81" s="1946"/>
      <c r="H81" s="1946"/>
      <c r="I81" s="1946"/>
      <c r="J81" s="1946"/>
      <c r="K81" s="1946"/>
      <c r="L81" s="1946"/>
      <c r="M81" s="1946"/>
      <c r="N81" s="1946"/>
      <c r="O81" s="1946"/>
      <c r="P81" s="1946"/>
      <c r="Q81" s="1946"/>
      <c r="R81" s="1946"/>
      <c r="S81" s="1968"/>
      <c r="T81" s="1944"/>
      <c r="U81" s="1944"/>
      <c r="V81" s="1944"/>
      <c r="W81" s="1944"/>
      <c r="X81" s="1944"/>
      <c r="Y81" s="1944"/>
      <c r="Z81" s="1944"/>
      <c r="AA81" s="1944"/>
      <c r="AB81" s="1944"/>
      <c r="AC81" s="1944"/>
    </row>
    <row r="82" spans="1:29" ht="14.25" hidden="1" x14ac:dyDescent="0.3">
      <c r="A82" s="284"/>
      <c r="B82" s="491"/>
      <c r="C82" s="116"/>
      <c r="D82" s="183">
        <f>SUM(E82:S82,E98:S98)</f>
        <v>0</v>
      </c>
      <c r="E82" s="14"/>
      <c r="F82" s="14"/>
      <c r="G82" s="14"/>
      <c r="H82" s="14"/>
      <c r="I82" s="14"/>
      <c r="J82" s="14"/>
      <c r="K82" s="14"/>
      <c r="L82" s="14"/>
      <c r="M82" s="14"/>
      <c r="N82" s="14"/>
      <c r="O82" s="14"/>
      <c r="P82" s="14"/>
      <c r="Q82" s="14"/>
      <c r="R82" s="14"/>
      <c r="S82" s="14"/>
      <c r="T82" s="493"/>
      <c r="U82" s="7"/>
      <c r="V82" s="7"/>
      <c r="W82" s="7"/>
      <c r="X82" s="7"/>
      <c r="Y82" s="7"/>
      <c r="Z82" s="7"/>
      <c r="AA82" s="7"/>
      <c r="AB82" s="7"/>
      <c r="AC82" s="7"/>
    </row>
    <row r="83" spans="1:29" ht="14.25" hidden="1" x14ac:dyDescent="0.3">
      <c r="A83" s="284"/>
      <c r="B83" s="491"/>
      <c r="C83" s="116"/>
      <c r="D83" s="182">
        <f t="shared" ref="D83:D93" si="25">SUM(E83:S83,E99:S99)</f>
        <v>0</v>
      </c>
      <c r="E83" s="14"/>
      <c r="F83" s="14"/>
      <c r="G83" s="14"/>
      <c r="H83" s="14"/>
      <c r="I83" s="14"/>
      <c r="J83" s="14"/>
      <c r="K83" s="14"/>
      <c r="L83" s="14"/>
      <c r="M83" s="14"/>
      <c r="N83" s="14"/>
      <c r="O83" s="14"/>
      <c r="P83" s="14"/>
      <c r="Q83" s="14"/>
      <c r="R83" s="14"/>
      <c r="S83" s="14"/>
      <c r="T83" s="493"/>
      <c r="U83" s="7"/>
      <c r="V83" s="7"/>
      <c r="W83" s="7"/>
      <c r="X83" s="7"/>
      <c r="Y83" s="7"/>
      <c r="Z83" s="7"/>
      <c r="AA83" s="7"/>
      <c r="AB83" s="7"/>
      <c r="AC83" s="7"/>
    </row>
    <row r="84" spans="1:29" ht="14.25" hidden="1" x14ac:dyDescent="0.3">
      <c r="A84" s="284"/>
      <c r="B84" s="491"/>
      <c r="C84" s="116"/>
      <c r="D84" s="182">
        <f t="shared" si="25"/>
        <v>0</v>
      </c>
      <c r="E84" s="14"/>
      <c r="F84" s="14"/>
      <c r="G84" s="14"/>
      <c r="H84" s="14"/>
      <c r="I84" s="14"/>
      <c r="J84" s="14"/>
      <c r="K84" s="14"/>
      <c r="L84" s="14"/>
      <c r="M84" s="14"/>
      <c r="N84" s="14"/>
      <c r="O84" s="14"/>
      <c r="P84" s="14"/>
      <c r="Q84" s="14"/>
      <c r="R84" s="14"/>
      <c r="S84" s="14"/>
      <c r="T84" s="493"/>
      <c r="U84" s="7"/>
      <c r="V84" s="7"/>
      <c r="W84" s="7"/>
      <c r="X84" s="7"/>
      <c r="Y84" s="7"/>
      <c r="Z84" s="7"/>
      <c r="AA84" s="7"/>
      <c r="AB84" s="7"/>
      <c r="AC84" s="7"/>
    </row>
    <row r="85" spans="1:29" ht="14.25" hidden="1" x14ac:dyDescent="0.3">
      <c r="A85" s="284"/>
      <c r="B85" s="491"/>
      <c r="C85" s="116"/>
      <c r="D85" s="182">
        <f t="shared" si="25"/>
        <v>0</v>
      </c>
      <c r="E85" s="14"/>
      <c r="F85" s="14"/>
      <c r="G85" s="14"/>
      <c r="H85" s="14"/>
      <c r="I85" s="14"/>
      <c r="J85" s="14"/>
      <c r="K85" s="14"/>
      <c r="L85" s="14"/>
      <c r="M85" s="14"/>
      <c r="N85" s="14"/>
      <c r="O85" s="14"/>
      <c r="P85" s="14"/>
      <c r="Q85" s="14"/>
      <c r="R85" s="14"/>
      <c r="S85" s="14"/>
      <c r="T85" s="493"/>
      <c r="U85" s="7"/>
      <c r="V85" s="7"/>
      <c r="W85" s="7"/>
      <c r="X85" s="7"/>
      <c r="Y85" s="7"/>
      <c r="Z85" s="7"/>
      <c r="AA85" s="7"/>
      <c r="AB85" s="7"/>
      <c r="AC85" s="7"/>
    </row>
    <row r="86" spans="1:29" ht="14.25" hidden="1" x14ac:dyDescent="0.3">
      <c r="A86" s="284"/>
      <c r="B86" s="491"/>
      <c r="C86" s="116"/>
      <c r="D86" s="182">
        <f t="shared" si="25"/>
        <v>0</v>
      </c>
      <c r="E86" s="14"/>
      <c r="F86" s="14"/>
      <c r="G86" s="14"/>
      <c r="H86" s="14"/>
      <c r="I86" s="14"/>
      <c r="J86" s="14"/>
      <c r="K86" s="14"/>
      <c r="L86" s="14"/>
      <c r="M86" s="14"/>
      <c r="N86" s="14"/>
      <c r="O86" s="14"/>
      <c r="P86" s="14"/>
      <c r="Q86" s="14"/>
      <c r="R86" s="14"/>
      <c r="S86" s="14"/>
      <c r="T86" s="493"/>
      <c r="U86" s="7"/>
      <c r="V86" s="7"/>
      <c r="W86" s="7"/>
      <c r="X86" s="7"/>
      <c r="Y86" s="7"/>
      <c r="Z86" s="7"/>
      <c r="AA86" s="7"/>
      <c r="AB86" s="7"/>
      <c r="AC86" s="7"/>
    </row>
    <row r="87" spans="1:29" ht="14.25" hidden="1" x14ac:dyDescent="0.3">
      <c r="A87" s="284"/>
      <c r="B87" s="491"/>
      <c r="C87" s="116"/>
      <c r="D87" s="182">
        <f t="shared" si="25"/>
        <v>0</v>
      </c>
      <c r="E87" s="14"/>
      <c r="F87" s="14"/>
      <c r="G87" s="14"/>
      <c r="H87" s="14"/>
      <c r="I87" s="14"/>
      <c r="J87" s="14"/>
      <c r="K87" s="14"/>
      <c r="L87" s="14"/>
      <c r="M87" s="14"/>
      <c r="N87" s="14"/>
      <c r="O87" s="14"/>
      <c r="P87" s="14"/>
      <c r="Q87" s="14"/>
      <c r="R87" s="14"/>
      <c r="S87" s="14"/>
      <c r="T87" s="493"/>
      <c r="U87" s="7"/>
      <c r="V87" s="7"/>
      <c r="W87" s="7"/>
      <c r="X87" s="7"/>
      <c r="Y87" s="7"/>
      <c r="Z87" s="7"/>
      <c r="AA87" s="7"/>
      <c r="AB87" s="7"/>
      <c r="AC87" s="7"/>
    </row>
    <row r="88" spans="1:29" ht="14.25" hidden="1" x14ac:dyDescent="0.3">
      <c r="A88" s="284"/>
      <c r="B88" s="491"/>
      <c r="C88" s="116"/>
      <c r="D88" s="182">
        <f t="shared" si="25"/>
        <v>0</v>
      </c>
      <c r="E88" s="14"/>
      <c r="F88" s="14"/>
      <c r="G88" s="14"/>
      <c r="H88" s="14"/>
      <c r="I88" s="14"/>
      <c r="J88" s="14"/>
      <c r="K88" s="14"/>
      <c r="L88" s="14"/>
      <c r="M88" s="14"/>
      <c r="N88" s="14"/>
      <c r="O88" s="14"/>
      <c r="P88" s="14"/>
      <c r="Q88" s="14"/>
      <c r="R88" s="14"/>
      <c r="S88" s="14"/>
      <c r="T88" s="493"/>
      <c r="U88" s="7"/>
      <c r="V88" s="7"/>
      <c r="W88" s="7"/>
      <c r="X88" s="7"/>
      <c r="Y88" s="7"/>
      <c r="Z88" s="7"/>
      <c r="AA88" s="7"/>
      <c r="AB88" s="7"/>
      <c r="AC88" s="7"/>
    </row>
    <row r="89" spans="1:29" ht="14.25" hidden="1" x14ac:dyDescent="0.3">
      <c r="A89" s="284"/>
      <c r="B89" s="491"/>
      <c r="C89" s="116"/>
      <c r="D89" s="182">
        <f t="shared" si="25"/>
        <v>0</v>
      </c>
      <c r="E89" s="14"/>
      <c r="F89" s="14"/>
      <c r="G89" s="14"/>
      <c r="H89" s="14"/>
      <c r="I89" s="14"/>
      <c r="J89" s="14"/>
      <c r="K89" s="14"/>
      <c r="L89" s="14"/>
      <c r="M89" s="14"/>
      <c r="N89" s="14"/>
      <c r="O89" s="14"/>
      <c r="P89" s="14"/>
      <c r="Q89" s="14"/>
      <c r="R89" s="14"/>
      <c r="S89" s="14"/>
      <c r="T89" s="493"/>
      <c r="U89" s="7"/>
      <c r="V89" s="7"/>
      <c r="W89" s="7"/>
      <c r="X89" s="7"/>
      <c r="Y89" s="7"/>
      <c r="Z89" s="7"/>
      <c r="AA89" s="7"/>
      <c r="AB89" s="7"/>
      <c r="AC89" s="7"/>
    </row>
    <row r="90" spans="1:29" ht="14.25" hidden="1" x14ac:dyDescent="0.3">
      <c r="A90" s="284"/>
      <c r="B90" s="491"/>
      <c r="C90" s="116"/>
      <c r="D90" s="182">
        <f t="shared" si="25"/>
        <v>0</v>
      </c>
      <c r="E90" s="14"/>
      <c r="F90" s="14"/>
      <c r="G90" s="14"/>
      <c r="H90" s="14"/>
      <c r="I90" s="14"/>
      <c r="J90" s="14"/>
      <c r="K90" s="14"/>
      <c r="L90" s="14"/>
      <c r="M90" s="14"/>
      <c r="N90" s="14"/>
      <c r="O90" s="14"/>
      <c r="P90" s="14"/>
      <c r="Q90" s="14"/>
      <c r="R90" s="14"/>
      <c r="S90" s="14"/>
      <c r="T90" s="493"/>
      <c r="U90" s="7"/>
      <c r="V90" s="7"/>
      <c r="W90" s="7"/>
      <c r="X90" s="7"/>
      <c r="Y90" s="7"/>
      <c r="Z90" s="7"/>
      <c r="AA90" s="7"/>
      <c r="AB90" s="7"/>
      <c r="AC90" s="7"/>
    </row>
    <row r="91" spans="1:29" ht="14.25" hidden="1" x14ac:dyDescent="0.3">
      <c r="A91" s="284"/>
      <c r="B91" s="491"/>
      <c r="C91" s="116"/>
      <c r="D91" s="182">
        <f t="shared" si="25"/>
        <v>0</v>
      </c>
      <c r="E91" s="14"/>
      <c r="F91" s="14"/>
      <c r="G91" s="14"/>
      <c r="H91" s="14"/>
      <c r="I91" s="14"/>
      <c r="J91" s="14"/>
      <c r="K91" s="14"/>
      <c r="L91" s="14"/>
      <c r="M91" s="14"/>
      <c r="N91" s="14"/>
      <c r="O91" s="14"/>
      <c r="P91" s="14"/>
      <c r="Q91" s="14"/>
      <c r="R91" s="14"/>
      <c r="S91" s="14"/>
      <c r="T91" s="493"/>
      <c r="U91" s="7"/>
      <c r="V91" s="7"/>
      <c r="W91" s="7"/>
      <c r="X91" s="7"/>
      <c r="Y91" s="7"/>
      <c r="Z91" s="7"/>
      <c r="AA91" s="7"/>
      <c r="AB91" s="7"/>
      <c r="AC91" s="7"/>
    </row>
    <row r="92" spans="1:29" ht="14.25" hidden="1" x14ac:dyDescent="0.3">
      <c r="A92" s="284"/>
      <c r="B92" s="491"/>
      <c r="C92" s="116"/>
      <c r="D92" s="182">
        <f t="shared" si="25"/>
        <v>0</v>
      </c>
      <c r="E92" s="14"/>
      <c r="F92" s="14"/>
      <c r="G92" s="14"/>
      <c r="H92" s="115"/>
      <c r="I92" s="14"/>
      <c r="J92" s="14"/>
      <c r="K92" s="14"/>
      <c r="L92" s="14"/>
      <c r="M92" s="14"/>
      <c r="N92" s="14"/>
      <c r="O92" s="14"/>
      <c r="P92" s="14"/>
      <c r="Q92" s="14"/>
      <c r="R92" s="14"/>
      <c r="S92" s="14"/>
      <c r="T92" s="493"/>
      <c r="U92" s="7"/>
      <c r="V92" s="7"/>
      <c r="W92" s="7"/>
      <c r="X92" s="7"/>
      <c r="Y92" s="7"/>
      <c r="Z92" s="7"/>
      <c r="AA92" s="7"/>
      <c r="AB92" s="7"/>
      <c r="AC92" s="7"/>
    </row>
    <row r="93" spans="1:29" ht="15" hidden="1" thickBot="1" x14ac:dyDescent="0.35">
      <c r="A93" s="284"/>
      <c r="B93" s="490"/>
      <c r="C93" s="116"/>
      <c r="D93" s="184">
        <f t="shared" si="25"/>
        <v>0</v>
      </c>
      <c r="E93" s="115"/>
      <c r="F93" s="115"/>
      <c r="G93" s="115"/>
      <c r="H93" s="115"/>
      <c r="I93" s="115"/>
      <c r="J93" s="115"/>
      <c r="K93" s="115"/>
      <c r="L93" s="115"/>
      <c r="M93" s="115"/>
      <c r="N93" s="115"/>
      <c r="O93" s="115"/>
      <c r="P93" s="115"/>
      <c r="Q93" s="115"/>
      <c r="R93" s="115"/>
      <c r="S93" s="115"/>
      <c r="T93" s="494"/>
      <c r="U93" s="9"/>
      <c r="V93" s="9"/>
      <c r="W93" s="9"/>
      <c r="X93" s="9"/>
      <c r="Y93" s="9"/>
      <c r="Z93" s="9"/>
      <c r="AA93" s="9"/>
      <c r="AB93" s="9"/>
      <c r="AC93" s="7"/>
    </row>
    <row r="94" spans="1:29" ht="13.5" hidden="1" x14ac:dyDescent="0.3">
      <c r="A94" s="12"/>
      <c r="B94" s="499"/>
      <c r="C94" s="497"/>
      <c r="D94" s="104"/>
      <c r="E94" s="496"/>
      <c r="F94" s="496"/>
      <c r="G94" s="496"/>
      <c r="H94" s="496"/>
      <c r="I94" s="496"/>
      <c r="J94" s="496"/>
      <c r="K94" s="496"/>
      <c r="L94" s="496"/>
      <c r="M94" s="496"/>
      <c r="N94" s="496"/>
      <c r="O94" s="496"/>
      <c r="P94" s="496"/>
      <c r="Q94" s="496"/>
      <c r="R94" s="496"/>
      <c r="S94" s="496"/>
      <c r="T94" s="7"/>
      <c r="U94" s="7"/>
      <c r="V94" s="7"/>
      <c r="W94" s="7"/>
      <c r="X94" s="7"/>
      <c r="Y94" s="7"/>
      <c r="Z94" s="7"/>
      <c r="AA94" s="7"/>
      <c r="AB94" s="7"/>
      <c r="AC94" s="7"/>
    </row>
    <row r="95" spans="1:29" ht="14.25" hidden="1" thickBot="1" x14ac:dyDescent="0.35">
      <c r="A95" s="12"/>
      <c r="B95" s="103"/>
      <c r="C95" s="12"/>
      <c r="D95" s="104"/>
      <c r="E95" s="102"/>
      <c r="F95" s="102"/>
      <c r="G95" s="102"/>
      <c r="H95" s="102"/>
      <c r="I95" s="102"/>
      <c r="J95" s="102"/>
      <c r="K95" s="102"/>
      <c r="L95" s="102"/>
      <c r="M95" s="102"/>
      <c r="N95" s="102"/>
      <c r="O95" s="102"/>
      <c r="P95" s="102"/>
      <c r="Q95" s="102"/>
      <c r="R95" s="102"/>
      <c r="S95" s="102"/>
      <c r="T95" s="7"/>
      <c r="U95" s="7"/>
      <c r="V95" s="7"/>
      <c r="W95" s="7"/>
      <c r="X95" s="7"/>
      <c r="Y95" s="7"/>
      <c r="Z95" s="7"/>
      <c r="AA95" s="7"/>
      <c r="AB95" s="7"/>
      <c r="AC95" s="7"/>
    </row>
    <row r="96" spans="1:29" ht="14.25" hidden="1" x14ac:dyDescent="0.3">
      <c r="A96" s="12"/>
      <c r="B96" s="134" t="str">
        <f>B80</f>
        <v>8.5.</v>
      </c>
      <c r="C96" s="124" t="str">
        <f>C80</f>
        <v>Celkové výkony</v>
      </c>
      <c r="D96" s="125"/>
      <c r="E96" s="1963">
        <f>S80+1</f>
        <v>2041</v>
      </c>
      <c r="F96" s="1945">
        <f t="shared" ref="F96:S96" si="26">E96+1</f>
        <v>2042</v>
      </c>
      <c r="G96" s="1945">
        <f t="shared" si="26"/>
        <v>2043</v>
      </c>
      <c r="H96" s="1945">
        <f t="shared" si="26"/>
        <v>2044</v>
      </c>
      <c r="I96" s="1945">
        <f t="shared" si="26"/>
        <v>2045</v>
      </c>
      <c r="J96" s="1945">
        <f t="shared" si="26"/>
        <v>2046</v>
      </c>
      <c r="K96" s="1945">
        <f t="shared" si="26"/>
        <v>2047</v>
      </c>
      <c r="L96" s="1945">
        <f t="shared" si="26"/>
        <v>2048</v>
      </c>
      <c r="M96" s="1945">
        <f t="shared" si="26"/>
        <v>2049</v>
      </c>
      <c r="N96" s="1945">
        <f t="shared" si="26"/>
        <v>2050</v>
      </c>
      <c r="O96" s="1945">
        <f t="shared" si="26"/>
        <v>2051</v>
      </c>
      <c r="P96" s="1945">
        <f t="shared" si="26"/>
        <v>2052</v>
      </c>
      <c r="Q96" s="1945">
        <f t="shared" si="26"/>
        <v>2053</v>
      </c>
      <c r="R96" s="1945">
        <f t="shared" si="26"/>
        <v>2054</v>
      </c>
      <c r="S96" s="1967">
        <f t="shared" si="26"/>
        <v>2055</v>
      </c>
      <c r="T96" s="1944"/>
      <c r="U96" s="1944"/>
      <c r="V96" s="1944"/>
      <c r="W96" s="1944"/>
      <c r="X96" s="1944"/>
      <c r="Y96" s="1944"/>
      <c r="Z96" s="1944"/>
      <c r="AA96" s="1944"/>
      <c r="AB96" s="1944"/>
      <c r="AC96" s="1944"/>
    </row>
    <row r="97" spans="1:29" ht="15" hidden="1" thickBot="1" x14ac:dyDescent="0.35">
      <c r="A97" s="12"/>
      <c r="B97" s="123" t="s">
        <v>5</v>
      </c>
      <c r="C97" s="126" t="str">
        <f>C81</f>
        <v>Scénář bez projektu</v>
      </c>
      <c r="D97" s="127"/>
      <c r="E97" s="1964"/>
      <c r="F97" s="1946"/>
      <c r="G97" s="1946"/>
      <c r="H97" s="1946"/>
      <c r="I97" s="1946"/>
      <c r="J97" s="1946"/>
      <c r="K97" s="1946"/>
      <c r="L97" s="1946"/>
      <c r="M97" s="1946"/>
      <c r="N97" s="1946"/>
      <c r="O97" s="1946"/>
      <c r="P97" s="1946"/>
      <c r="Q97" s="1946"/>
      <c r="R97" s="1946"/>
      <c r="S97" s="1968"/>
      <c r="T97" s="1944"/>
      <c r="U97" s="1944"/>
      <c r="V97" s="1944"/>
      <c r="W97" s="1944"/>
      <c r="X97" s="1944"/>
      <c r="Y97" s="1944"/>
      <c r="Z97" s="1944"/>
      <c r="AA97" s="1944"/>
      <c r="AB97" s="1944"/>
      <c r="AC97" s="1944"/>
    </row>
    <row r="98" spans="1:29" ht="14.25" hidden="1" x14ac:dyDescent="0.3">
      <c r="A98" s="12"/>
      <c r="B98" s="135">
        <f t="shared" ref="B98:C109" si="27">B82</f>
        <v>0</v>
      </c>
      <c r="C98" s="136">
        <f t="shared" si="27"/>
        <v>0</v>
      </c>
      <c r="D98" s="488"/>
      <c r="E98" s="14"/>
      <c r="F98" s="14"/>
      <c r="G98" s="14"/>
      <c r="H98" s="14"/>
      <c r="I98" s="14"/>
      <c r="J98" s="14"/>
      <c r="K98" s="14"/>
      <c r="L98" s="14"/>
      <c r="M98" s="14"/>
      <c r="N98" s="14"/>
      <c r="O98" s="14"/>
      <c r="P98" s="14"/>
      <c r="Q98" s="14"/>
      <c r="R98" s="14"/>
      <c r="S98" s="14"/>
      <c r="T98" s="493"/>
      <c r="U98" s="7"/>
      <c r="V98" s="7"/>
      <c r="W98" s="7"/>
      <c r="X98" s="7"/>
      <c r="Y98" s="7"/>
      <c r="Z98" s="7"/>
      <c r="AA98" s="7"/>
      <c r="AB98" s="7"/>
      <c r="AC98" s="7"/>
    </row>
    <row r="99" spans="1:29" ht="14.25" hidden="1" x14ac:dyDescent="0.3">
      <c r="A99" s="12"/>
      <c r="B99" s="135">
        <f t="shared" si="27"/>
        <v>0</v>
      </c>
      <c r="C99" s="136">
        <f t="shared" si="27"/>
        <v>0</v>
      </c>
      <c r="D99" s="121"/>
      <c r="E99" s="115"/>
      <c r="F99" s="115"/>
      <c r="G99" s="115"/>
      <c r="H99" s="115"/>
      <c r="I99" s="115"/>
      <c r="J99" s="14"/>
      <c r="K99" s="14"/>
      <c r="L99" s="14"/>
      <c r="M99" s="14"/>
      <c r="N99" s="14"/>
      <c r="O99" s="14"/>
      <c r="P99" s="14"/>
      <c r="Q99" s="14"/>
      <c r="R99" s="14"/>
      <c r="S99" s="14"/>
      <c r="T99" s="493"/>
      <c r="U99" s="7"/>
      <c r="V99" s="7"/>
      <c r="W99" s="7"/>
      <c r="X99" s="7"/>
      <c r="Y99" s="7"/>
      <c r="Z99" s="7"/>
      <c r="AA99" s="7"/>
      <c r="AB99" s="7"/>
      <c r="AC99" s="7"/>
    </row>
    <row r="100" spans="1:29" ht="14.25" hidden="1" x14ac:dyDescent="0.3">
      <c r="A100" s="12"/>
      <c r="B100" s="135">
        <f t="shared" si="27"/>
        <v>0</v>
      </c>
      <c r="C100" s="136">
        <f t="shared" si="27"/>
        <v>0</v>
      </c>
      <c r="D100" s="121"/>
      <c r="E100" s="115"/>
      <c r="F100" s="115"/>
      <c r="G100" s="115"/>
      <c r="H100" s="115"/>
      <c r="I100" s="115"/>
      <c r="J100" s="14"/>
      <c r="K100" s="14"/>
      <c r="L100" s="14"/>
      <c r="M100" s="14"/>
      <c r="N100" s="14"/>
      <c r="O100" s="14"/>
      <c r="P100" s="14"/>
      <c r="Q100" s="14"/>
      <c r="R100" s="14"/>
      <c r="S100" s="14"/>
      <c r="T100" s="493"/>
      <c r="U100" s="7"/>
      <c r="V100" s="7"/>
      <c r="W100" s="7"/>
      <c r="X100" s="7"/>
      <c r="Y100" s="7"/>
      <c r="Z100" s="7"/>
      <c r="AA100" s="7"/>
      <c r="AB100" s="7"/>
      <c r="AC100" s="7"/>
    </row>
    <row r="101" spans="1:29" ht="14.25" hidden="1" x14ac:dyDescent="0.3">
      <c r="A101" s="12"/>
      <c r="B101" s="135">
        <f t="shared" si="27"/>
        <v>0</v>
      </c>
      <c r="C101" s="136">
        <f t="shared" si="27"/>
        <v>0</v>
      </c>
      <c r="D101" s="121"/>
      <c r="E101" s="115"/>
      <c r="F101" s="115"/>
      <c r="G101" s="115"/>
      <c r="H101" s="115"/>
      <c r="I101" s="115"/>
      <c r="J101" s="14"/>
      <c r="K101" s="14"/>
      <c r="L101" s="14"/>
      <c r="M101" s="14"/>
      <c r="N101" s="14"/>
      <c r="O101" s="14"/>
      <c r="P101" s="14"/>
      <c r="Q101" s="14"/>
      <c r="R101" s="14"/>
      <c r="S101" s="14"/>
      <c r="T101" s="493"/>
      <c r="U101" s="7"/>
      <c r="V101" s="7"/>
      <c r="W101" s="7"/>
      <c r="X101" s="7"/>
      <c r="Y101" s="7"/>
      <c r="Z101" s="7"/>
      <c r="AA101" s="7"/>
      <c r="AB101" s="7"/>
      <c r="AC101" s="7"/>
    </row>
    <row r="102" spans="1:29" ht="14.25" hidden="1" x14ac:dyDescent="0.3">
      <c r="A102" s="12"/>
      <c r="B102" s="135">
        <f t="shared" si="27"/>
        <v>0</v>
      </c>
      <c r="C102" s="136">
        <f t="shared" si="27"/>
        <v>0</v>
      </c>
      <c r="D102" s="121"/>
      <c r="E102" s="115"/>
      <c r="F102" s="115"/>
      <c r="G102" s="115"/>
      <c r="H102" s="115"/>
      <c r="I102" s="115"/>
      <c r="J102" s="14"/>
      <c r="K102" s="14"/>
      <c r="L102" s="14"/>
      <c r="M102" s="14"/>
      <c r="N102" s="14"/>
      <c r="O102" s="14"/>
      <c r="P102" s="14"/>
      <c r="Q102" s="14"/>
      <c r="R102" s="14"/>
      <c r="S102" s="14"/>
      <c r="T102" s="493"/>
      <c r="U102" s="7"/>
      <c r="V102" s="7"/>
      <c r="W102" s="7"/>
      <c r="X102" s="7"/>
      <c r="Y102" s="7"/>
      <c r="Z102" s="7"/>
      <c r="AA102" s="7"/>
      <c r="AB102" s="7"/>
      <c r="AC102" s="7"/>
    </row>
    <row r="103" spans="1:29" ht="14.25" hidden="1" x14ac:dyDescent="0.3">
      <c r="A103" s="12"/>
      <c r="B103" s="135">
        <f t="shared" si="27"/>
        <v>0</v>
      </c>
      <c r="C103" s="136">
        <f t="shared" si="27"/>
        <v>0</v>
      </c>
      <c r="D103" s="121"/>
      <c r="E103" s="115"/>
      <c r="F103" s="115"/>
      <c r="G103" s="115"/>
      <c r="H103" s="115"/>
      <c r="I103" s="115"/>
      <c r="J103" s="14"/>
      <c r="K103" s="14"/>
      <c r="L103" s="14"/>
      <c r="M103" s="14"/>
      <c r="N103" s="14"/>
      <c r="O103" s="14"/>
      <c r="P103" s="14"/>
      <c r="Q103" s="14"/>
      <c r="R103" s="14"/>
      <c r="S103" s="14"/>
      <c r="T103" s="493"/>
      <c r="U103" s="7"/>
      <c r="V103" s="7"/>
      <c r="W103" s="7"/>
      <c r="X103" s="7"/>
      <c r="Y103" s="7"/>
      <c r="Z103" s="7"/>
      <c r="AA103" s="7"/>
      <c r="AB103" s="7"/>
      <c r="AC103" s="7"/>
    </row>
    <row r="104" spans="1:29" ht="14.25" hidden="1" x14ac:dyDescent="0.3">
      <c r="A104" s="12"/>
      <c r="B104" s="135">
        <f t="shared" si="27"/>
        <v>0</v>
      </c>
      <c r="C104" s="136">
        <f t="shared" si="27"/>
        <v>0</v>
      </c>
      <c r="D104" s="121"/>
      <c r="E104" s="115"/>
      <c r="F104" s="115"/>
      <c r="G104" s="115"/>
      <c r="H104" s="115"/>
      <c r="I104" s="115"/>
      <c r="J104" s="14"/>
      <c r="K104" s="14"/>
      <c r="L104" s="14"/>
      <c r="M104" s="14"/>
      <c r="N104" s="14"/>
      <c r="O104" s="14"/>
      <c r="P104" s="14"/>
      <c r="Q104" s="14"/>
      <c r="R104" s="14"/>
      <c r="S104" s="14"/>
      <c r="T104" s="493"/>
      <c r="U104" s="7"/>
      <c r="V104" s="7"/>
      <c r="W104" s="7"/>
      <c r="X104" s="7"/>
      <c r="Y104" s="7"/>
      <c r="Z104" s="7"/>
      <c r="AA104" s="7"/>
      <c r="AB104" s="7"/>
      <c r="AC104" s="7"/>
    </row>
    <row r="105" spans="1:29" ht="14.25" hidden="1" x14ac:dyDescent="0.3">
      <c r="A105" s="12"/>
      <c r="B105" s="135">
        <f t="shared" si="27"/>
        <v>0</v>
      </c>
      <c r="C105" s="136">
        <f t="shared" si="27"/>
        <v>0</v>
      </c>
      <c r="D105" s="121"/>
      <c r="E105" s="115"/>
      <c r="F105" s="115"/>
      <c r="G105" s="115"/>
      <c r="H105" s="115"/>
      <c r="I105" s="115"/>
      <c r="J105" s="14"/>
      <c r="K105" s="14"/>
      <c r="L105" s="14"/>
      <c r="M105" s="14"/>
      <c r="N105" s="14"/>
      <c r="O105" s="14"/>
      <c r="P105" s="14"/>
      <c r="Q105" s="14"/>
      <c r="R105" s="14"/>
      <c r="S105" s="14"/>
      <c r="T105" s="493"/>
      <c r="U105" s="7"/>
      <c r="V105" s="7"/>
      <c r="W105" s="7"/>
      <c r="X105" s="7"/>
      <c r="Y105" s="7"/>
      <c r="Z105" s="7"/>
      <c r="AA105" s="7"/>
      <c r="AB105" s="7"/>
      <c r="AC105" s="7"/>
    </row>
    <row r="106" spans="1:29" ht="14.25" hidden="1" x14ac:dyDescent="0.3">
      <c r="A106" s="12"/>
      <c r="B106" s="135">
        <f t="shared" si="27"/>
        <v>0</v>
      </c>
      <c r="C106" s="136">
        <f t="shared" si="27"/>
        <v>0</v>
      </c>
      <c r="D106" s="121"/>
      <c r="E106" s="115"/>
      <c r="F106" s="115"/>
      <c r="G106" s="115"/>
      <c r="H106" s="115"/>
      <c r="I106" s="115"/>
      <c r="J106" s="14"/>
      <c r="K106" s="14"/>
      <c r="L106" s="14"/>
      <c r="M106" s="14"/>
      <c r="N106" s="14"/>
      <c r="O106" s="14"/>
      <c r="P106" s="14"/>
      <c r="Q106" s="14"/>
      <c r="R106" s="14"/>
      <c r="S106" s="14"/>
      <c r="T106" s="493"/>
      <c r="U106" s="7"/>
      <c r="V106" s="7"/>
      <c r="W106" s="7"/>
      <c r="X106" s="7"/>
      <c r="Y106" s="7"/>
      <c r="Z106" s="7"/>
      <c r="AA106" s="7"/>
      <c r="AB106" s="7"/>
      <c r="AC106" s="7"/>
    </row>
    <row r="107" spans="1:29" ht="14.25" hidden="1" x14ac:dyDescent="0.3">
      <c r="A107" s="12"/>
      <c r="B107" s="135">
        <f t="shared" si="27"/>
        <v>0</v>
      </c>
      <c r="C107" s="136">
        <f t="shared" si="27"/>
        <v>0</v>
      </c>
      <c r="D107" s="121"/>
      <c r="E107" s="115"/>
      <c r="F107" s="115"/>
      <c r="G107" s="115"/>
      <c r="H107" s="115"/>
      <c r="I107" s="115"/>
      <c r="J107" s="14"/>
      <c r="K107" s="14"/>
      <c r="L107" s="14"/>
      <c r="M107" s="14"/>
      <c r="N107" s="14"/>
      <c r="O107" s="14"/>
      <c r="P107" s="14"/>
      <c r="Q107" s="14"/>
      <c r="R107" s="14"/>
      <c r="S107" s="14"/>
      <c r="T107" s="493"/>
      <c r="U107" s="7"/>
      <c r="V107" s="7"/>
      <c r="W107" s="7"/>
      <c r="X107" s="7"/>
      <c r="Y107" s="7"/>
      <c r="Z107" s="7"/>
      <c r="AA107" s="7"/>
      <c r="AB107" s="7"/>
      <c r="AC107" s="7"/>
    </row>
    <row r="108" spans="1:29" ht="14.25" hidden="1" x14ac:dyDescent="0.3">
      <c r="A108" s="12"/>
      <c r="B108" s="135">
        <f t="shared" si="27"/>
        <v>0</v>
      </c>
      <c r="C108" s="136">
        <f t="shared" si="27"/>
        <v>0</v>
      </c>
      <c r="D108" s="121"/>
      <c r="E108" s="115"/>
      <c r="F108" s="115"/>
      <c r="G108" s="115"/>
      <c r="H108" s="115"/>
      <c r="I108" s="115"/>
      <c r="J108" s="14"/>
      <c r="K108" s="14"/>
      <c r="L108" s="14"/>
      <c r="M108" s="14"/>
      <c r="N108" s="14"/>
      <c r="O108" s="14"/>
      <c r="P108" s="14"/>
      <c r="Q108" s="14"/>
      <c r="R108" s="14"/>
      <c r="S108" s="14"/>
      <c r="T108" s="493"/>
      <c r="U108" s="7"/>
      <c r="V108" s="7"/>
      <c r="W108" s="7"/>
      <c r="X108" s="7"/>
      <c r="Y108" s="7"/>
      <c r="Z108" s="7"/>
      <c r="AA108" s="7"/>
      <c r="AB108" s="7"/>
      <c r="AC108" s="7"/>
    </row>
    <row r="109" spans="1:29" ht="15" hidden="1" thickBot="1" x14ac:dyDescent="0.35">
      <c r="A109" s="12"/>
      <c r="B109" s="137">
        <f t="shared" si="27"/>
        <v>0</v>
      </c>
      <c r="C109" s="138">
        <f t="shared" si="27"/>
        <v>0</v>
      </c>
      <c r="D109" s="498"/>
      <c r="E109" s="115"/>
      <c r="F109" s="115"/>
      <c r="G109" s="115"/>
      <c r="H109" s="115"/>
      <c r="I109" s="115"/>
      <c r="J109" s="14"/>
      <c r="K109" s="14"/>
      <c r="L109" s="14"/>
      <c r="M109" s="14"/>
      <c r="N109" s="14"/>
      <c r="O109" s="14"/>
      <c r="P109" s="14"/>
      <c r="Q109" s="14"/>
      <c r="R109" s="14"/>
      <c r="S109" s="14"/>
      <c r="T109" s="493"/>
      <c r="U109" s="7"/>
      <c r="V109" s="7"/>
      <c r="W109" s="7"/>
      <c r="X109" s="7"/>
      <c r="Y109" s="7"/>
      <c r="Z109" s="7"/>
      <c r="AA109" s="7"/>
      <c r="AB109" s="7"/>
      <c r="AC109" s="7"/>
    </row>
    <row r="110" spans="1:29" ht="13.5" hidden="1" x14ac:dyDescent="0.3">
      <c r="A110" s="12"/>
      <c r="B110" s="12"/>
      <c r="C110" s="12"/>
      <c r="D110" s="12"/>
      <c r="E110" s="497"/>
      <c r="F110" s="497"/>
      <c r="G110" s="497"/>
      <c r="H110" s="497"/>
      <c r="I110" s="497"/>
      <c r="J110" s="497"/>
      <c r="K110" s="497"/>
      <c r="L110" s="497"/>
      <c r="M110" s="497"/>
      <c r="N110" s="497"/>
      <c r="O110" s="497"/>
      <c r="P110" s="497"/>
      <c r="Q110" s="497"/>
      <c r="R110" s="497"/>
      <c r="S110" s="497"/>
      <c r="T110" s="1"/>
      <c r="U110" s="1"/>
      <c r="V110" s="1"/>
      <c r="W110" s="1"/>
      <c r="X110" s="1"/>
      <c r="Y110" s="1"/>
      <c r="Z110" s="1"/>
      <c r="AA110" s="1"/>
      <c r="AB110" s="1"/>
      <c r="AC110" s="1"/>
    </row>
    <row r="111" spans="1:29" ht="15" thickBot="1" x14ac:dyDescent="0.35">
      <c r="A111" s="12"/>
      <c r="B111" s="109"/>
      <c r="C111" s="12"/>
      <c r="D111" s="12"/>
      <c r="E111" s="12"/>
      <c r="F111" s="12"/>
      <c r="G111" s="12"/>
      <c r="H111" s="12"/>
      <c r="I111" s="12"/>
      <c r="J111" s="12"/>
      <c r="K111" s="12"/>
      <c r="L111" s="12"/>
      <c r="M111" s="12"/>
      <c r="N111" s="12"/>
      <c r="O111" s="12"/>
      <c r="P111" s="12"/>
      <c r="Q111" s="12"/>
      <c r="R111" s="12"/>
      <c r="S111" s="12"/>
      <c r="T111" s="1"/>
      <c r="U111" s="1"/>
      <c r="V111" s="1"/>
      <c r="W111" s="1"/>
      <c r="X111" s="1"/>
      <c r="Y111" s="1"/>
      <c r="Z111" s="1"/>
      <c r="AA111" s="1"/>
      <c r="AB111" s="1"/>
      <c r="AC111" s="1"/>
    </row>
    <row r="112" spans="1:29" ht="13.5" x14ac:dyDescent="0.3">
      <c r="A112" s="12"/>
      <c r="B112" s="1947" t="str">
        <f>IF('0 Úvod'!$M$10="English",Slovnik!$D$423,Slovnik!$C$423)</f>
        <v>Komentáře</v>
      </c>
      <c r="C112" s="1948"/>
      <c r="D112" s="1948"/>
      <c r="E112" s="1948"/>
      <c r="F112" s="1948"/>
      <c r="G112" s="1948"/>
      <c r="H112" s="1948"/>
      <c r="I112" s="1948"/>
      <c r="J112" s="1948"/>
      <c r="K112" s="1948"/>
      <c r="L112" s="1948"/>
      <c r="M112" s="1948"/>
      <c r="N112" s="1948"/>
      <c r="O112" s="1948"/>
      <c r="P112" s="1948"/>
      <c r="Q112" s="1949"/>
      <c r="R112" s="1949"/>
      <c r="S112" s="1950"/>
      <c r="T112" s="1"/>
      <c r="U112" s="1"/>
      <c r="V112" s="1"/>
      <c r="W112" s="1"/>
      <c r="X112" s="1"/>
      <c r="Y112" s="1"/>
      <c r="Z112" s="1"/>
      <c r="AA112" s="1"/>
      <c r="AB112" s="1"/>
      <c r="AC112" s="1"/>
    </row>
    <row r="113" spans="1:29" ht="14.25" thickBot="1" x14ac:dyDescent="0.35">
      <c r="A113" s="12"/>
      <c r="B113" s="1951"/>
      <c r="C113" s="1952"/>
      <c r="D113" s="1952"/>
      <c r="E113" s="1952"/>
      <c r="F113" s="1952"/>
      <c r="G113" s="1952"/>
      <c r="H113" s="1952"/>
      <c r="I113" s="1952"/>
      <c r="J113" s="1952"/>
      <c r="K113" s="1952"/>
      <c r="L113" s="1952"/>
      <c r="M113" s="1952"/>
      <c r="N113" s="1952"/>
      <c r="O113" s="1952"/>
      <c r="P113" s="1952"/>
      <c r="Q113" s="1953"/>
      <c r="R113" s="1953"/>
      <c r="S113" s="1954"/>
      <c r="T113" s="1"/>
      <c r="U113" s="1"/>
      <c r="V113" s="1"/>
      <c r="W113" s="1"/>
      <c r="X113" s="1"/>
      <c r="Y113" s="1"/>
      <c r="Z113" s="1"/>
      <c r="AA113" s="1"/>
      <c r="AB113" s="1"/>
      <c r="AC113" s="1"/>
    </row>
    <row r="114" spans="1:29" ht="29.25" customHeight="1" x14ac:dyDescent="0.3">
      <c r="A114" s="12"/>
      <c r="B114" s="1971" t="s">
        <v>1418</v>
      </c>
      <c r="C114" s="1972"/>
      <c r="D114" s="1972"/>
      <c r="E114" s="1972"/>
      <c r="F114" s="1972"/>
      <c r="G114" s="1972"/>
      <c r="H114" s="1972"/>
      <c r="I114" s="1972"/>
      <c r="J114" s="1972"/>
      <c r="K114" s="1972"/>
      <c r="L114" s="1972"/>
      <c r="M114" s="1972"/>
      <c r="N114" s="1972"/>
      <c r="O114" s="1972"/>
      <c r="P114" s="1972"/>
      <c r="Q114" s="1972"/>
      <c r="R114" s="1972"/>
      <c r="S114" s="1973"/>
      <c r="T114" s="1"/>
      <c r="U114" s="1"/>
      <c r="V114" s="1"/>
      <c r="W114" s="1"/>
      <c r="X114" s="1"/>
      <c r="Y114" s="1"/>
      <c r="Z114" s="1"/>
      <c r="AA114" s="1"/>
      <c r="AB114" s="1"/>
      <c r="AC114" s="1"/>
    </row>
    <row r="115" spans="1:29" ht="28.5" customHeight="1" x14ac:dyDescent="0.3">
      <c r="A115" s="12"/>
      <c r="B115" s="1974"/>
      <c r="C115" s="1975"/>
      <c r="D115" s="1975"/>
      <c r="E115" s="1975"/>
      <c r="F115" s="1975"/>
      <c r="G115" s="1975"/>
      <c r="H115" s="1975"/>
      <c r="I115" s="1975"/>
      <c r="J115" s="1975"/>
      <c r="K115" s="1975"/>
      <c r="L115" s="1975"/>
      <c r="M115" s="1975"/>
      <c r="N115" s="1975"/>
      <c r="O115" s="1975"/>
      <c r="P115" s="1975"/>
      <c r="Q115" s="1975"/>
      <c r="R115" s="1975"/>
      <c r="S115" s="1976"/>
      <c r="T115" s="1"/>
      <c r="U115" s="1"/>
      <c r="V115" s="1"/>
      <c r="W115" s="1"/>
      <c r="X115" s="1"/>
      <c r="Y115" s="1"/>
      <c r="Z115" s="1"/>
      <c r="AA115" s="1"/>
      <c r="AB115" s="1"/>
      <c r="AC115" s="1"/>
    </row>
    <row r="116" spans="1:29" ht="30" customHeight="1" x14ac:dyDescent="0.3">
      <c r="A116" s="12"/>
      <c r="B116" s="1977"/>
      <c r="C116" s="1978"/>
      <c r="D116" s="1978"/>
      <c r="E116" s="1978"/>
      <c r="F116" s="1978"/>
      <c r="G116" s="1978"/>
      <c r="H116" s="1978"/>
      <c r="I116" s="1978"/>
      <c r="J116" s="1978"/>
      <c r="K116" s="1978"/>
      <c r="L116" s="1978"/>
      <c r="M116" s="1978"/>
      <c r="N116" s="1978"/>
      <c r="O116" s="1978"/>
      <c r="P116" s="1978"/>
      <c r="Q116" s="1978"/>
      <c r="R116" s="1978"/>
      <c r="S116" s="1979"/>
      <c r="T116" s="1"/>
      <c r="U116" s="1"/>
      <c r="V116" s="1"/>
      <c r="W116" s="1"/>
      <c r="X116" s="1"/>
      <c r="Y116" s="1"/>
      <c r="Z116" s="1"/>
      <c r="AA116" s="1"/>
      <c r="AB116" s="1"/>
      <c r="AC116" s="1"/>
    </row>
    <row r="117" spans="1:29" ht="14.25" customHeight="1" thickBot="1" x14ac:dyDescent="0.35">
      <c r="A117" s="12"/>
      <c r="B117" s="1941"/>
      <c r="C117" s="1942"/>
      <c r="D117" s="1942"/>
      <c r="E117" s="1942"/>
      <c r="F117" s="1942"/>
      <c r="G117" s="1942"/>
      <c r="H117" s="1942"/>
      <c r="I117" s="1942"/>
      <c r="J117" s="1942"/>
      <c r="K117" s="1942"/>
      <c r="L117" s="1942"/>
      <c r="M117" s="1942"/>
      <c r="N117" s="1942"/>
      <c r="O117" s="1942"/>
      <c r="P117" s="1942"/>
      <c r="Q117" s="1942"/>
      <c r="R117" s="1942"/>
      <c r="S117" s="1943"/>
      <c r="T117" s="1"/>
      <c r="U117" s="1"/>
      <c r="V117" s="1"/>
      <c r="W117" s="1"/>
      <c r="X117" s="1"/>
      <c r="Y117" s="1"/>
      <c r="Z117" s="1"/>
      <c r="AA117" s="1"/>
      <c r="AB117" s="1"/>
      <c r="AC117" s="1"/>
    </row>
    <row r="118" spans="1:29" ht="13.5" x14ac:dyDescent="0.3">
      <c r="A118" s="12"/>
      <c r="B118" s="12"/>
      <c r="C118" s="12"/>
      <c r="D118" s="12"/>
      <c r="E118" s="12"/>
      <c r="F118" s="12"/>
      <c r="G118" s="12"/>
      <c r="H118" s="12"/>
      <c r="I118" s="12"/>
      <c r="J118" s="12"/>
      <c r="K118" s="12"/>
      <c r="L118" s="12"/>
      <c r="M118" s="12"/>
      <c r="N118" s="12"/>
      <c r="O118" s="12"/>
      <c r="P118" s="12"/>
      <c r="Q118" s="12"/>
      <c r="R118" s="12"/>
      <c r="S118" s="12"/>
      <c r="T118" s="1"/>
      <c r="U118" s="1"/>
      <c r="V118" s="1"/>
      <c r="W118" s="1"/>
      <c r="X118" s="1"/>
      <c r="Y118" s="1"/>
      <c r="Z118" s="1"/>
      <c r="AA118" s="1"/>
      <c r="AB118" s="1"/>
      <c r="AC118" s="1"/>
    </row>
    <row r="119" spans="1:29" ht="14.25" x14ac:dyDescent="0.3">
      <c r="A119" s="12"/>
      <c r="B119" s="12"/>
      <c r="C119" s="286"/>
      <c r="D119" s="12"/>
      <c r="E119" s="12"/>
      <c r="F119" s="12"/>
      <c r="G119" s="12"/>
      <c r="H119" s="12"/>
      <c r="I119" s="12"/>
      <c r="J119" s="12"/>
      <c r="K119" s="12"/>
      <c r="L119" s="12"/>
      <c r="M119" s="12"/>
      <c r="N119" s="12"/>
      <c r="O119" s="12"/>
      <c r="P119" s="12"/>
      <c r="Q119" s="12"/>
      <c r="R119" s="12"/>
      <c r="S119" s="12"/>
      <c r="T119" s="1"/>
      <c r="U119" s="1"/>
      <c r="V119" s="1"/>
      <c r="W119" s="1"/>
      <c r="X119" s="1"/>
      <c r="Y119" s="1"/>
      <c r="Z119" s="1"/>
      <c r="AA119" s="1"/>
      <c r="AB119" s="1"/>
      <c r="AC119" s="1"/>
    </row>
    <row r="120" spans="1:29" ht="13.5" x14ac:dyDescent="0.3">
      <c r="A120" s="12"/>
      <c r="B120" s="12"/>
      <c r="C120" s="12"/>
      <c r="D120" s="12"/>
      <c r="E120" s="12"/>
      <c r="F120" s="12"/>
      <c r="G120" s="12"/>
      <c r="H120" s="12"/>
      <c r="I120" s="12"/>
      <c r="J120" s="12"/>
      <c r="K120" s="12"/>
      <c r="L120" s="12"/>
      <c r="M120" s="12"/>
      <c r="N120" s="12"/>
      <c r="O120" s="12"/>
      <c r="P120" s="12"/>
      <c r="Q120" s="12"/>
      <c r="R120" s="12"/>
      <c r="S120" s="12"/>
      <c r="T120" s="1"/>
      <c r="U120" s="1"/>
      <c r="V120" s="1"/>
      <c r="W120" s="1"/>
      <c r="X120" s="1"/>
      <c r="Y120" s="1"/>
      <c r="Z120" s="1"/>
      <c r="AA120" s="1"/>
      <c r="AB120" s="1"/>
      <c r="AC120" s="1"/>
    </row>
    <row r="121" spans="1:29" ht="15" x14ac:dyDescent="0.25">
      <c r="A121" s="1"/>
      <c r="B121" s="1"/>
      <c r="C121" s="433"/>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row>
    <row r="122" spans="1:29" ht="12.75" x14ac:dyDescent="0.2">
      <c r="A122" s="1"/>
      <c r="B122" s="1"/>
      <c r="C122" s="434"/>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row>
    <row r="123" spans="1:29" ht="12.75" x14ac:dyDescent="0.2">
      <c r="A123" s="1"/>
      <c r="B123" s="1"/>
      <c r="C123" s="435"/>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row>
    <row r="124" spans="1:29" ht="12.75" x14ac:dyDescent="0.2">
      <c r="A124" s="1"/>
      <c r="B124" s="1"/>
      <c r="C124" s="436"/>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row>
    <row r="125" spans="1:29" ht="12.75" x14ac:dyDescent="0.2">
      <c r="C125" s="437"/>
    </row>
    <row r="126" spans="1:29" ht="12.75" x14ac:dyDescent="0.2">
      <c r="C126" s="438"/>
    </row>
    <row r="127" spans="1:29" ht="12.75" x14ac:dyDescent="0.2">
      <c r="C127" s="439"/>
    </row>
    <row r="128" spans="1:29" ht="12.75" x14ac:dyDescent="0.2">
      <c r="C128" s="438"/>
    </row>
    <row r="129" spans="3:3" ht="12.75" x14ac:dyDescent="0.2">
      <c r="C129" s="439"/>
    </row>
    <row r="130" spans="3:3" ht="12.75" x14ac:dyDescent="0.2">
      <c r="C130" s="438"/>
    </row>
    <row r="131" spans="3:3" ht="12.75" x14ac:dyDescent="0.2">
      <c r="C131" s="439"/>
    </row>
  </sheetData>
  <sheetProtection algorithmName="SHA-512" hashValue="HYxfWzOp5xcohdSIy07jjmRfPIR4+z6pGmdixnFWFtuP88aq3ge92fSlhEwPKNBmCUaRaBF5SuqmeZVzZ4PT1A==" saltValue="Yd/or8Wl0rk8pEyo9ue1Nw==" spinCount="100000" sheet="1" objects="1" scenarios="1"/>
  <mergeCells count="195">
    <mergeCell ref="B114:S114"/>
    <mergeCell ref="B115:S115"/>
    <mergeCell ref="B116:S116"/>
    <mergeCell ref="I80:I81"/>
    <mergeCell ref="K80:K81"/>
    <mergeCell ref="Q80:Q81"/>
    <mergeCell ref="R80:R81"/>
    <mergeCell ref="S80:S81"/>
    <mergeCell ref="P96:P97"/>
    <mergeCell ref="E96:E97"/>
    <mergeCell ref="F96:F97"/>
    <mergeCell ref="G96:G97"/>
    <mergeCell ref="H96:H97"/>
    <mergeCell ref="N96:N97"/>
    <mergeCell ref="O96:O97"/>
    <mergeCell ref="J80:J81"/>
    <mergeCell ref="N80:N81"/>
    <mergeCell ref="M96:M97"/>
    <mergeCell ref="E80:E81"/>
    <mergeCell ref="F80:F81"/>
    <mergeCell ref="G80:G81"/>
    <mergeCell ref="H80:H81"/>
    <mergeCell ref="I96:I97"/>
    <mergeCell ref="J96:J97"/>
    <mergeCell ref="P48:P49"/>
    <mergeCell ref="Q48:Q49"/>
    <mergeCell ref="M48:M49"/>
    <mergeCell ref="L64:L65"/>
    <mergeCell ref="M64:M65"/>
    <mergeCell ref="O48:O49"/>
    <mergeCell ref="Q96:Q97"/>
    <mergeCell ref="S96:S97"/>
    <mergeCell ref="L96:L97"/>
    <mergeCell ref="O80:O81"/>
    <mergeCell ref="P80:P81"/>
    <mergeCell ref="L80:L81"/>
    <mergeCell ref="M80:M81"/>
    <mergeCell ref="O64:O65"/>
    <mergeCell ref="P64:P65"/>
    <mergeCell ref="K48:K49"/>
    <mergeCell ref="L48:L49"/>
    <mergeCell ref="J64:J65"/>
    <mergeCell ref="K64:K65"/>
    <mergeCell ref="K37:K38"/>
    <mergeCell ref="N30:N31"/>
    <mergeCell ref="M30:M31"/>
    <mergeCell ref="I30:I31"/>
    <mergeCell ref="J30:J31"/>
    <mergeCell ref="J37:J38"/>
    <mergeCell ref="K30:K31"/>
    <mergeCell ref="L30:L31"/>
    <mergeCell ref="N48:N49"/>
    <mergeCell ref="N64:N65"/>
    <mergeCell ref="I64:I65"/>
    <mergeCell ref="J48:J49"/>
    <mergeCell ref="E37:E38"/>
    <mergeCell ref="F37:F38"/>
    <mergeCell ref="G37:G38"/>
    <mergeCell ref="H37:H38"/>
    <mergeCell ref="I37:I38"/>
    <mergeCell ref="E48:E49"/>
    <mergeCell ref="F48:F49"/>
    <mergeCell ref="G48:G49"/>
    <mergeCell ref="H48:H49"/>
    <mergeCell ref="I48:I49"/>
    <mergeCell ref="P30:P31"/>
    <mergeCell ref="Q30:Q31"/>
    <mergeCell ref="O30:O31"/>
    <mergeCell ref="R37:R38"/>
    <mergeCell ref="S37:S38"/>
    <mergeCell ref="L37:L38"/>
    <mergeCell ref="M37:M38"/>
    <mergeCell ref="N37:N38"/>
    <mergeCell ref="O37:O38"/>
    <mergeCell ref="P37:P38"/>
    <mergeCell ref="Q37:Q38"/>
    <mergeCell ref="E30:E31"/>
    <mergeCell ref="F30:F31"/>
    <mergeCell ref="G30:G31"/>
    <mergeCell ref="H30:H31"/>
    <mergeCell ref="E23:E24"/>
    <mergeCell ref="F23:F24"/>
    <mergeCell ref="S16:S17"/>
    <mergeCell ref="Q23:Q24"/>
    <mergeCell ref="R23:R24"/>
    <mergeCell ref="S23:S24"/>
    <mergeCell ref="M23:M24"/>
    <mergeCell ref="Q16:Q17"/>
    <mergeCell ref="O23:O24"/>
    <mergeCell ref="R16:R17"/>
    <mergeCell ref="O16:O17"/>
    <mergeCell ref="J23:J24"/>
    <mergeCell ref="G23:G24"/>
    <mergeCell ref="H23:H24"/>
    <mergeCell ref="K23:K24"/>
    <mergeCell ref="L23:L24"/>
    <mergeCell ref="I23:I24"/>
    <mergeCell ref="S30:S31"/>
    <mergeCell ref="N23:N24"/>
    <mergeCell ref="P23:P24"/>
    <mergeCell ref="E16:E17"/>
    <mergeCell ref="F16:F17"/>
    <mergeCell ref="G16:G17"/>
    <mergeCell ref="H16:H17"/>
    <mergeCell ref="L9:L10"/>
    <mergeCell ref="M9:M10"/>
    <mergeCell ref="P16:P17"/>
    <mergeCell ref="L16:L17"/>
    <mergeCell ref="I16:I17"/>
    <mergeCell ref="J16:J17"/>
    <mergeCell ref="M16:M17"/>
    <mergeCell ref="N16:N17"/>
    <mergeCell ref="K16:K17"/>
    <mergeCell ref="P9:P10"/>
    <mergeCell ref="E9:E10"/>
    <mergeCell ref="F9:F10"/>
    <mergeCell ref="G9:G10"/>
    <mergeCell ref="H9:H10"/>
    <mergeCell ref="P2:P3"/>
    <mergeCell ref="R9:R10"/>
    <mergeCell ref="O9:O10"/>
    <mergeCell ref="I9:I10"/>
    <mergeCell ref="J9:J10"/>
    <mergeCell ref="M2:M3"/>
    <mergeCell ref="N2:N3"/>
    <mergeCell ref="K9:K10"/>
    <mergeCell ref="N9:N10"/>
    <mergeCell ref="K2:K3"/>
    <mergeCell ref="L2:L3"/>
    <mergeCell ref="E2:E3"/>
    <mergeCell ref="F2:F3"/>
    <mergeCell ref="G2:G3"/>
    <mergeCell ref="H2:H3"/>
    <mergeCell ref="I2:I3"/>
    <mergeCell ref="J2:J3"/>
    <mergeCell ref="O2:O3"/>
    <mergeCell ref="AC48:AC49"/>
    <mergeCell ref="T64:T65"/>
    <mergeCell ref="U64:U65"/>
    <mergeCell ref="V64:V65"/>
    <mergeCell ref="W64:W65"/>
    <mergeCell ref="X64:X65"/>
    <mergeCell ref="Y64:Y65"/>
    <mergeCell ref="Z64:Z65"/>
    <mergeCell ref="AA64:AA65"/>
    <mergeCell ref="T48:T49"/>
    <mergeCell ref="U48:U49"/>
    <mergeCell ref="V48:V49"/>
    <mergeCell ref="W48:W49"/>
    <mergeCell ref="X48:X49"/>
    <mergeCell ref="Y48:Y49"/>
    <mergeCell ref="Z48:Z49"/>
    <mergeCell ref="AA48:AA49"/>
    <mergeCell ref="AB48:AB49"/>
    <mergeCell ref="S9:S10"/>
    <mergeCell ref="S2:S3"/>
    <mergeCell ref="Q9:Q10"/>
    <mergeCell ref="Q2:Q3"/>
    <mergeCell ref="R2:R3"/>
    <mergeCell ref="T96:T97"/>
    <mergeCell ref="U96:U97"/>
    <mergeCell ref="V96:V97"/>
    <mergeCell ref="W96:W97"/>
    <mergeCell ref="AB64:AB65"/>
    <mergeCell ref="R30:R31"/>
    <mergeCell ref="Q64:Q65"/>
    <mergeCell ref="S48:S49"/>
    <mergeCell ref="R64:R65"/>
    <mergeCell ref="R96:R97"/>
    <mergeCell ref="S64:S65"/>
    <mergeCell ref="R48:R49"/>
    <mergeCell ref="B117:S117"/>
    <mergeCell ref="AC64:AC65"/>
    <mergeCell ref="T80:T81"/>
    <mergeCell ref="U80:U81"/>
    <mergeCell ref="V80:V81"/>
    <mergeCell ref="W80:W81"/>
    <mergeCell ref="X80:X81"/>
    <mergeCell ref="Y80:Y81"/>
    <mergeCell ref="AB96:AB97"/>
    <mergeCell ref="AC96:AC97"/>
    <mergeCell ref="Z80:Z81"/>
    <mergeCell ref="AA80:AA81"/>
    <mergeCell ref="AB80:AB81"/>
    <mergeCell ref="AC80:AC81"/>
    <mergeCell ref="X96:X97"/>
    <mergeCell ref="Y96:Y97"/>
    <mergeCell ref="Z96:Z97"/>
    <mergeCell ref="AA96:AA97"/>
    <mergeCell ref="K96:K97"/>
    <mergeCell ref="B112:S113"/>
    <mergeCell ref="E64:E65"/>
    <mergeCell ref="F64:F65"/>
    <mergeCell ref="G64:G65"/>
    <mergeCell ref="H64:H65"/>
  </mergeCells>
  <phoneticPr fontId="0" type="noConversion"/>
  <pageMargins left="0.39370078740157483" right="0.15748031496062992" top="0.78740157480314965" bottom="0.78740157480314965" header="0.39370078740157483" footer="0.39370078740157483"/>
  <pageSetup paperSize="9" scale="57" fitToHeight="0" orientation="landscape" r:id="rId1"/>
  <headerFooter alignWithMargins="0">
    <oddFooter>&amp;L&amp;A&amp;C&amp;D</oddFooter>
  </headerFooter>
  <ignoredErrors>
    <ignoredError sqref="D40:S41 D8:D11 D13 D27 D36:D39 D15 D14 D22:D25 D29:S29 D28 E22:S22 E15:S15 E8:S8 E7:G7 E14:S14 E21:S21 E28:S28 E34:S36 E33:S33 E10:S10 F9:S9 E24:S24 F23:S23 E38:S39 F37:S37 I7:S7 E32:S32 E31:S31 D30:S30 D16 E16:S17" unlockedFormula="1"/>
    <ignoredError sqref="C17"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List25">
    <pageSetUpPr fitToPage="1"/>
  </sheetPr>
  <dimension ref="A1:AC56"/>
  <sheetViews>
    <sheetView defaultGridColor="0" topLeftCell="A14" colorId="23" zoomScaleNormal="100" workbookViewId="0">
      <selection activeCell="H44" sqref="H44"/>
    </sheetView>
  </sheetViews>
  <sheetFormatPr defaultColWidth="9.140625" defaultRowHeight="13.5" x14ac:dyDescent="0.3"/>
  <cols>
    <col min="1" max="1" width="2.42578125" style="276" customWidth="1"/>
    <col min="2" max="2" width="5.7109375" style="276" customWidth="1"/>
    <col min="3" max="3" width="47.7109375" style="276" customWidth="1"/>
    <col min="4" max="4" width="15" style="276" customWidth="1"/>
    <col min="5" max="19" width="12.7109375" style="276" customWidth="1"/>
    <col min="20" max="20" width="10.7109375" style="276" customWidth="1"/>
    <col min="21" max="21" width="15.140625" style="276" hidden="1" customWidth="1"/>
    <col min="22" max="22" width="19.140625" style="276" hidden="1" customWidth="1"/>
    <col min="23" max="29" width="10.7109375" style="276" customWidth="1"/>
    <col min="30" max="34" width="7.140625" style="276" customWidth="1"/>
    <col min="35" max="16384" width="9.140625" style="276"/>
  </cols>
  <sheetData>
    <row r="1" spans="1:29" ht="12.75" customHeight="1" thickBot="1" x14ac:dyDescent="0.35"/>
    <row r="2" spans="1:29" ht="14.25" x14ac:dyDescent="0.3">
      <c r="B2" s="1043" t="s">
        <v>43</v>
      </c>
      <c r="C2" s="1044" t="s">
        <v>1385</v>
      </c>
      <c r="D2" s="1045"/>
      <c r="E2" s="1907">
        <f>'0 Úvod'!G18</f>
        <v>2026</v>
      </c>
      <c r="F2" s="1907">
        <f t="shared" ref="F2:S2" si="0">E2+1</f>
        <v>2027</v>
      </c>
      <c r="G2" s="1907">
        <f t="shared" si="0"/>
        <v>2028</v>
      </c>
      <c r="H2" s="1907">
        <f t="shared" si="0"/>
        <v>2029</v>
      </c>
      <c r="I2" s="1907">
        <f t="shared" si="0"/>
        <v>2030</v>
      </c>
      <c r="J2" s="1907">
        <f t="shared" si="0"/>
        <v>2031</v>
      </c>
      <c r="K2" s="1907">
        <f t="shared" si="0"/>
        <v>2032</v>
      </c>
      <c r="L2" s="1907">
        <f t="shared" si="0"/>
        <v>2033</v>
      </c>
      <c r="M2" s="1907">
        <f t="shared" si="0"/>
        <v>2034</v>
      </c>
      <c r="N2" s="1907">
        <f t="shared" si="0"/>
        <v>2035</v>
      </c>
      <c r="O2" s="1907">
        <f t="shared" si="0"/>
        <v>2036</v>
      </c>
      <c r="P2" s="1907">
        <f t="shared" si="0"/>
        <v>2037</v>
      </c>
      <c r="Q2" s="1907">
        <f t="shared" si="0"/>
        <v>2038</v>
      </c>
      <c r="R2" s="1907">
        <f t="shared" si="0"/>
        <v>2039</v>
      </c>
      <c r="S2" s="1911">
        <f t="shared" si="0"/>
        <v>2040</v>
      </c>
      <c r="T2" s="282"/>
      <c r="U2" s="285" t="s">
        <v>48</v>
      </c>
      <c r="V2" s="285" t="s">
        <v>49</v>
      </c>
      <c r="W2" s="283"/>
      <c r="X2" s="283"/>
      <c r="Y2" s="283"/>
      <c r="Z2" s="283"/>
      <c r="AA2" s="283"/>
      <c r="AB2" s="283"/>
      <c r="AC2" s="283"/>
    </row>
    <row r="3" spans="1:29" ht="15" thickBot="1" x14ac:dyDescent="0.35">
      <c r="B3" s="1046" t="s">
        <v>4</v>
      </c>
      <c r="C3" s="1047"/>
      <c r="D3" s="1048" t="str">
        <f>IF('0 Úvod'!$M$10="English",Slovnik!$D$444,Slovnik!$C$444)</f>
        <v>Celkem</v>
      </c>
      <c r="E3" s="1908"/>
      <c r="F3" s="1908"/>
      <c r="G3" s="1908"/>
      <c r="H3" s="1908"/>
      <c r="I3" s="1908"/>
      <c r="J3" s="1908"/>
      <c r="K3" s="1908"/>
      <c r="L3" s="1908"/>
      <c r="M3" s="1908"/>
      <c r="N3" s="1908"/>
      <c r="O3" s="1908"/>
      <c r="P3" s="1908"/>
      <c r="Q3" s="1908"/>
      <c r="R3" s="1908"/>
      <c r="S3" s="1912"/>
      <c r="T3" s="282"/>
      <c r="U3" s="308" t="s">
        <v>50</v>
      </c>
      <c r="V3" s="308" t="s">
        <v>50</v>
      </c>
      <c r="W3" s="283"/>
      <c r="X3" s="283"/>
      <c r="Y3" s="283"/>
      <c r="Z3" s="283"/>
      <c r="AA3" s="283"/>
      <c r="AB3" s="283"/>
      <c r="AC3" s="283"/>
    </row>
    <row r="4" spans="1:29" ht="14.25" x14ac:dyDescent="0.3">
      <c r="B4" s="1049"/>
      <c r="C4" s="1050" t="str">
        <f>IF('0 Úvod'!$M$10="English",Slovnik!D434,Slovnik!C434)</f>
        <v>Celkové přírůstkové provozní příjmy</v>
      </c>
      <c r="D4" s="1051">
        <f>SUM(E4:S4,E25:S25)</f>
        <v>0</v>
      </c>
      <c r="E4" s="1052">
        <f>IF(E2&lt;=('0 Úvod'!$G$18+'0 Úvod'!$J$18-1),'6 Příjmy'!E35,0)</f>
        <v>0</v>
      </c>
      <c r="F4" s="1052">
        <f>IF(F2&lt;=('0 Úvod'!$G$18+'0 Úvod'!$J$18-1),'6 Příjmy'!F35,0)</f>
        <v>0</v>
      </c>
      <c r="G4" s="1052">
        <f>IF(G2&lt;=('0 Úvod'!$G$18+'0 Úvod'!$J$18-1),'6 Příjmy'!G35,0)</f>
        <v>0</v>
      </c>
      <c r="H4" s="1052">
        <f>IF(H2&lt;=('0 Úvod'!$G$18+'0 Úvod'!$J$18-1),'6 Příjmy'!H35,0)</f>
        <v>0</v>
      </c>
      <c r="I4" s="1052">
        <f>IF(I2&lt;=('0 Úvod'!$G$18+'0 Úvod'!$J$18-1),'6 Příjmy'!I35,0)</f>
        <v>0</v>
      </c>
      <c r="J4" s="1052">
        <f>IF(J2&lt;=('0 Úvod'!$G$18+'0 Úvod'!$J$18-1),'6 Příjmy'!J35,0)</f>
        <v>0</v>
      </c>
      <c r="K4" s="1052">
        <f>IF(K2&lt;=('0 Úvod'!$G$18+'0 Úvod'!$J$18-1),'6 Příjmy'!K35,0)</f>
        <v>0</v>
      </c>
      <c r="L4" s="1052">
        <f>IF(L2&lt;=('0 Úvod'!$G$18+'0 Úvod'!$J$18-1),'6 Příjmy'!L35,0)</f>
        <v>0</v>
      </c>
      <c r="M4" s="1052">
        <f>IF(M2&lt;=('0 Úvod'!$G$18+'0 Úvod'!$J$18-1),'6 Příjmy'!M35,0)</f>
        <v>0</v>
      </c>
      <c r="N4" s="1052">
        <f>IF(N2&lt;=('0 Úvod'!$G$18+'0 Úvod'!$J$18-1),'6 Příjmy'!N35,0)</f>
        <v>0</v>
      </c>
      <c r="O4" s="1052">
        <f>IF(O2&lt;=('0 Úvod'!$G$18+'0 Úvod'!$J$18-1),'6 Příjmy'!O35,0)</f>
        <v>0</v>
      </c>
      <c r="P4" s="1052">
        <f>IF(P2&lt;=('0 Úvod'!$G$18+'0 Úvod'!$J$18-1),'6 Příjmy'!P35,0)</f>
        <v>0</v>
      </c>
      <c r="Q4" s="1052">
        <f>IF(Q2&lt;=('0 Úvod'!$G$18+'0 Úvod'!$J$18-1),'6 Příjmy'!Q35,0)</f>
        <v>0</v>
      </c>
      <c r="R4" s="1052">
        <f>IF(R2&lt;=('0 Úvod'!$G$18+'0 Úvod'!$J$18-1),'6 Příjmy'!R35,0)</f>
        <v>0</v>
      </c>
      <c r="S4" s="1053">
        <f>IF(S2&lt;=('0 Úvod'!$G$18+'0 Úvod'!$J$18-1),'6 Příjmy'!S35,0)</f>
        <v>0</v>
      </c>
      <c r="T4" s="299"/>
      <c r="U4" s="301" t="s">
        <v>51</v>
      </c>
      <c r="V4" s="301" t="s">
        <v>51</v>
      </c>
      <c r="W4" s="299"/>
      <c r="X4" s="299"/>
      <c r="Y4" s="299"/>
      <c r="Z4" s="299"/>
      <c r="AA4" s="299"/>
      <c r="AB4" s="299"/>
      <c r="AC4" s="299"/>
    </row>
    <row r="5" spans="1:29" ht="15" thickBot="1" x14ac:dyDescent="0.35">
      <c r="B5" s="1054"/>
      <c r="C5" s="1055" t="str">
        <f>IF('0 Úvod'!$M$10="English",Slovnik!D435,Slovnik!C435)</f>
        <v>Celkové výnosy</v>
      </c>
      <c r="D5" s="1056">
        <f t="shared" ref="D5:S5" si="1">SUM(D4)</f>
        <v>0</v>
      </c>
      <c r="E5" s="1057">
        <f t="shared" si="1"/>
        <v>0</v>
      </c>
      <c r="F5" s="1057">
        <f t="shared" si="1"/>
        <v>0</v>
      </c>
      <c r="G5" s="1057">
        <f t="shared" si="1"/>
        <v>0</v>
      </c>
      <c r="H5" s="1057">
        <f t="shared" si="1"/>
        <v>0</v>
      </c>
      <c r="I5" s="1057">
        <f t="shared" si="1"/>
        <v>0</v>
      </c>
      <c r="J5" s="1057">
        <f t="shared" si="1"/>
        <v>0</v>
      </c>
      <c r="K5" s="1057">
        <f t="shared" si="1"/>
        <v>0</v>
      </c>
      <c r="L5" s="1057">
        <f t="shared" si="1"/>
        <v>0</v>
      </c>
      <c r="M5" s="1057">
        <f t="shared" si="1"/>
        <v>0</v>
      </c>
      <c r="N5" s="1057">
        <f t="shared" si="1"/>
        <v>0</v>
      </c>
      <c r="O5" s="1057">
        <f t="shared" si="1"/>
        <v>0</v>
      </c>
      <c r="P5" s="1057">
        <f t="shared" si="1"/>
        <v>0</v>
      </c>
      <c r="Q5" s="1057">
        <f t="shared" si="1"/>
        <v>0</v>
      </c>
      <c r="R5" s="1057">
        <f t="shared" si="1"/>
        <v>0</v>
      </c>
      <c r="S5" s="1058">
        <f t="shared" si="1"/>
        <v>0</v>
      </c>
      <c r="T5" s="300"/>
      <c r="U5" s="301" t="s">
        <v>52</v>
      </c>
      <c r="V5" s="301" t="s">
        <v>52</v>
      </c>
      <c r="W5" s="300"/>
      <c r="X5" s="300"/>
      <c r="Y5" s="300"/>
      <c r="Z5" s="300"/>
      <c r="AA5" s="300"/>
      <c r="AB5" s="300"/>
      <c r="AC5" s="300"/>
    </row>
    <row r="6" spans="1:29" ht="14.25" x14ac:dyDescent="0.3">
      <c r="B6" s="1049"/>
      <c r="C6" s="1059" t="str">
        <f>IF('0 Úvod'!$M$10="English",Slovnik!D436,Slovnik!C436)</f>
        <v>Celkové přírůstkové provozní náklady infrastruktury</v>
      </c>
      <c r="D6" s="1051">
        <f>SUM(E6:S6,E27:S27)</f>
        <v>0</v>
      </c>
      <c r="E6" s="1060">
        <f>IF(E2&lt;=('0 Úvod'!$G$18+'0 Úvod'!$J$18-1),'4 PN infrastruktury'!E65,0)</f>
        <v>0</v>
      </c>
      <c r="F6" s="1052">
        <f>IF(F2&lt;=('0 Úvod'!$G$18+'0 Úvod'!$J$18-1),'4 PN infrastruktury'!F65,0)</f>
        <v>0</v>
      </c>
      <c r="G6" s="1052">
        <f>IF(G2&lt;=('0 Úvod'!$G$18+'0 Úvod'!$J$18-1),'4 PN infrastruktury'!G65,0)</f>
        <v>0</v>
      </c>
      <c r="H6" s="1052">
        <f>IF(H2&lt;=('0 Úvod'!$G$18+'0 Úvod'!$J$18-1),'4 PN infrastruktury'!H65,0)</f>
        <v>0</v>
      </c>
      <c r="I6" s="1052">
        <f>IF(I2&lt;=('0 Úvod'!$G$18+'0 Úvod'!$J$18-1),'4 PN infrastruktury'!I65,0)</f>
        <v>0</v>
      </c>
      <c r="J6" s="1052">
        <f>IF(J2&lt;=('0 Úvod'!$G$18+'0 Úvod'!$J$18-1),'4 PN infrastruktury'!J65,0)</f>
        <v>0</v>
      </c>
      <c r="K6" s="1052">
        <f>IF(K2&lt;=('0 Úvod'!$G$18+'0 Úvod'!$J$18-1),'4 PN infrastruktury'!K65,0)</f>
        <v>0</v>
      </c>
      <c r="L6" s="1052">
        <f>IF(L2&lt;=('0 Úvod'!$G$18+'0 Úvod'!$J$18-1),'4 PN infrastruktury'!L65,0)</f>
        <v>0</v>
      </c>
      <c r="M6" s="1052">
        <f>IF(M2&lt;=('0 Úvod'!$G$18+'0 Úvod'!$J$18-1),'4 PN infrastruktury'!M65,0)</f>
        <v>0</v>
      </c>
      <c r="N6" s="1052">
        <f>IF(N2&lt;=('0 Úvod'!$G$18+'0 Úvod'!$J$18-1),'4 PN infrastruktury'!N65,0)</f>
        <v>0</v>
      </c>
      <c r="O6" s="1052">
        <f>IF(O2&lt;=('0 Úvod'!$G$18+'0 Úvod'!$J$18-1),'4 PN infrastruktury'!O65,0)</f>
        <v>0</v>
      </c>
      <c r="P6" s="1052">
        <f>IF(P2&lt;=('0 Úvod'!$G$18+'0 Úvod'!$J$18-1),'4 PN infrastruktury'!P65,0)</f>
        <v>0</v>
      </c>
      <c r="Q6" s="1052">
        <f>IF(Q2&lt;=('0 Úvod'!$G$18+'0 Úvod'!$J$18-1),'4 PN infrastruktury'!Q65,0)</f>
        <v>0</v>
      </c>
      <c r="R6" s="1052">
        <f>IF(R2&lt;=('0 Úvod'!$G$18+'0 Úvod'!$J$18-1),'4 PN infrastruktury'!R65,0)</f>
        <v>0</v>
      </c>
      <c r="S6" s="1053">
        <f>IF(S2&lt;=('0 Úvod'!$G$18+'0 Úvod'!$J$18-1),'4 PN infrastruktury'!S65,0)</f>
        <v>0</v>
      </c>
      <c r="T6" s="299"/>
      <c r="U6" s="301" t="s">
        <v>53</v>
      </c>
      <c r="V6" s="276" t="s">
        <v>54</v>
      </c>
      <c r="W6" s="299"/>
      <c r="X6" s="299"/>
      <c r="Y6" s="299"/>
      <c r="Z6" s="299"/>
      <c r="AA6" s="299"/>
      <c r="AB6" s="299"/>
      <c r="AC6" s="299"/>
    </row>
    <row r="7" spans="1:29" ht="14.25" x14ac:dyDescent="0.3">
      <c r="B7" s="1061"/>
      <c r="C7" s="1062" t="str">
        <f>IF('0 Úvod'!$M$10="English",Slovnik!D437,Slovnik!C437)</f>
        <v>Celkové přírůstkové provozní náklady vozidel</v>
      </c>
      <c r="D7" s="1063">
        <f>SUM(E7:S7,E28:S28)</f>
        <v>0</v>
      </c>
      <c r="E7" s="1064">
        <f>IF(E2&lt;=('0 Úvod'!$G$18+'0 Úvod'!$J$18-1),'5 PN vozidel MHD'!E78,0)</f>
        <v>0</v>
      </c>
      <c r="F7" s="1065">
        <f>IF(F2&lt;=('0 Úvod'!$G$18+'0 Úvod'!$J$18-1),'5 PN vozidel MHD'!F78,0)</f>
        <v>0</v>
      </c>
      <c r="G7" s="1065">
        <f>IF(G2&lt;=('0 Úvod'!$G$18+'0 Úvod'!$J$18-1),'5 PN vozidel MHD'!G78,0)</f>
        <v>0</v>
      </c>
      <c r="H7" s="1065">
        <f>IF(H2&lt;=('0 Úvod'!$G$18+'0 Úvod'!$J$18-1),'5 PN vozidel MHD'!H78,0)</f>
        <v>0</v>
      </c>
      <c r="I7" s="1065">
        <f>IF(I2&lt;=('0 Úvod'!$G$18+'0 Úvod'!$J$18-1),'5 PN vozidel MHD'!I78,0)</f>
        <v>0</v>
      </c>
      <c r="J7" s="1065">
        <f>IF(J2&lt;=('0 Úvod'!$G$18+'0 Úvod'!$J$18-1),'5 PN vozidel MHD'!J78,0)</f>
        <v>0</v>
      </c>
      <c r="K7" s="1065">
        <f>IF(K2&lt;=('0 Úvod'!$G$18+'0 Úvod'!$J$18-1),'5 PN vozidel MHD'!K78,0)</f>
        <v>0</v>
      </c>
      <c r="L7" s="1065">
        <f>IF(L2&lt;=('0 Úvod'!$G$18+'0 Úvod'!$J$18-1),'5 PN vozidel MHD'!L78,0)</f>
        <v>0</v>
      </c>
      <c r="M7" s="1065">
        <f>IF(M2&lt;=('0 Úvod'!$G$18+'0 Úvod'!$J$18-1),'5 PN vozidel MHD'!M78,0)</f>
        <v>0</v>
      </c>
      <c r="N7" s="1065">
        <f>IF(N2&lt;=('0 Úvod'!$G$18+'0 Úvod'!$J$18-1),'5 PN vozidel MHD'!N78,0)</f>
        <v>0</v>
      </c>
      <c r="O7" s="1065">
        <f>IF(O2&lt;=('0 Úvod'!$G$18+'0 Úvod'!$J$18-1),'5 PN vozidel MHD'!O78,0)</f>
        <v>0</v>
      </c>
      <c r="P7" s="1065">
        <f>IF(P2&lt;=('0 Úvod'!$G$18+'0 Úvod'!$J$18-1),'5 PN vozidel MHD'!P78,0)</f>
        <v>0</v>
      </c>
      <c r="Q7" s="1065">
        <f>IF(Q2&lt;=('0 Úvod'!$G$18+'0 Úvod'!$J$18-1),'5 PN vozidel MHD'!Q78,0)</f>
        <v>0</v>
      </c>
      <c r="R7" s="1065">
        <f>IF(R2&lt;=('0 Úvod'!$G$18+'0 Úvod'!$J$18-1),'5 PN vozidel MHD'!R78,0)</f>
        <v>0</v>
      </c>
      <c r="S7" s="1066">
        <f>IF(S2&lt;=('0 Úvod'!$G$18+'0 Úvod'!$J$18-1),'5 PN vozidel MHD'!S78,0)</f>
        <v>0</v>
      </c>
      <c r="T7" s="299"/>
      <c r="U7" s="299"/>
      <c r="V7" s="301" t="s">
        <v>55</v>
      </c>
      <c r="W7" s="299"/>
      <c r="X7" s="299"/>
      <c r="Y7" s="299"/>
      <c r="Z7" s="299"/>
      <c r="AA7" s="299"/>
      <c r="AB7" s="299"/>
      <c r="AC7" s="299"/>
    </row>
    <row r="8" spans="1:29" ht="14.25" x14ac:dyDescent="0.3">
      <c r="B8" s="1061"/>
      <c r="C8" s="1067" t="str">
        <f>IF('0 Úvod'!$M$10="English",Slovnik!D438,Slovnik!C438)</f>
        <v>Celkové invest. náklady bez rezervy</v>
      </c>
      <c r="D8" s="1063">
        <f>SUM(E8:S8,E29:S29)</f>
        <v>0</v>
      </c>
      <c r="E8" s="1064">
        <f>'1 CIN'!E10</f>
        <v>0</v>
      </c>
      <c r="F8" s="1065">
        <f>'1 CIN'!F10</f>
        <v>0</v>
      </c>
      <c r="G8" s="1065">
        <f>'1 CIN'!G10</f>
        <v>0</v>
      </c>
      <c r="H8" s="1065">
        <f>'1 CIN'!H10</f>
        <v>0</v>
      </c>
      <c r="I8" s="1065">
        <f>'1 CIN'!I10</f>
        <v>0</v>
      </c>
      <c r="J8" s="1065">
        <f>'1 CIN'!J10</f>
        <v>0</v>
      </c>
      <c r="K8" s="1065">
        <f>'1 CIN'!K10</f>
        <v>0</v>
      </c>
      <c r="L8" s="1065">
        <f>'1 CIN'!L10</f>
        <v>0</v>
      </c>
      <c r="M8" s="1065">
        <f>'1 CIN'!M10</f>
        <v>0</v>
      </c>
      <c r="N8" s="1065">
        <f>'1 CIN'!N10</f>
        <v>0</v>
      </c>
      <c r="O8" s="1065">
        <f>'1 CIN'!O10</f>
        <v>0</v>
      </c>
      <c r="P8" s="1065">
        <f>'1 CIN'!P10</f>
        <v>0</v>
      </c>
      <c r="Q8" s="1065">
        <f>'1 CIN'!Q10</f>
        <v>0</v>
      </c>
      <c r="R8" s="1065">
        <f>'1 CIN'!R10</f>
        <v>0</v>
      </c>
      <c r="S8" s="1066">
        <f>'1 CIN'!S10</f>
        <v>0</v>
      </c>
      <c r="T8" s="299"/>
      <c r="U8" s="299"/>
      <c r="V8" s="299"/>
      <c r="W8" s="299"/>
      <c r="X8" s="299"/>
      <c r="Y8" s="299"/>
      <c r="Z8" s="299"/>
      <c r="AA8" s="299"/>
      <c r="AB8" s="299"/>
      <c r="AC8" s="299"/>
    </row>
    <row r="9" spans="1:29" ht="14.25" x14ac:dyDescent="0.3">
      <c r="B9" s="1061"/>
      <c r="C9" s="1067" t="str">
        <f>IF('0 Úvod'!$M$10="English",Slovnik!D439,Slovnik!C439)</f>
        <v>Zůstatková hodnota (záporná)</v>
      </c>
      <c r="D9" s="1063">
        <f>SUM(E9:S9,E30:S30)</f>
        <v>0</v>
      </c>
      <c r="E9" s="1064">
        <f>IF(E2='0 Úvod'!$G$18+'0 Úvod'!$J$18-1,-1*'2 ZH'!$D$47,0)</f>
        <v>0</v>
      </c>
      <c r="F9" s="1065">
        <f>IF(F2='0 Úvod'!$G$18+'0 Úvod'!$J$18-1,-1*'2 ZH'!$D$47,0)</f>
        <v>0</v>
      </c>
      <c r="G9" s="1065">
        <f>IF(G2='0 Úvod'!$G$18+'0 Úvod'!$J$18-1,-1*'2 ZH'!$D$47,0)</f>
        <v>0</v>
      </c>
      <c r="H9" s="1065">
        <f>IF(H2='0 Úvod'!$G$18+'0 Úvod'!$J$18-1,-1*'2 ZH'!$D$47,0)</f>
        <v>0</v>
      </c>
      <c r="I9" s="1065">
        <f>IF(I2='0 Úvod'!$G$18+'0 Úvod'!$J$18-1,-1*'2 ZH'!$D$47,0)</f>
        <v>0</v>
      </c>
      <c r="J9" s="1065">
        <f>IF(J2='0 Úvod'!$G$18+'0 Úvod'!$J$18-1,-1*'2 ZH'!$D$47,0)</f>
        <v>0</v>
      </c>
      <c r="K9" s="1065">
        <f>IF(K2='0 Úvod'!$G$18+'0 Úvod'!$J$18-1,-1*'2 ZH'!$D$47,0)</f>
        <v>0</v>
      </c>
      <c r="L9" s="1065">
        <f>IF(L2='0 Úvod'!$G$18+'0 Úvod'!$J$18-1,-1*'2 ZH'!$D$47,0)</f>
        <v>0</v>
      </c>
      <c r="M9" s="1065">
        <f>IF(M2='0 Úvod'!$G$18+'0 Úvod'!$J$18-1,-1*'2 ZH'!$D$47,0)</f>
        <v>0</v>
      </c>
      <c r="N9" s="1065">
        <f>IF(N2='0 Úvod'!$G$18+'0 Úvod'!$J$18-1,-1*'2 ZH'!$D$47,0)</f>
        <v>0</v>
      </c>
      <c r="O9" s="1065">
        <f>IF(O2='0 Úvod'!$G$18+'0 Úvod'!$J$18-1,-1*'2 ZH'!$D$47,0)</f>
        <v>0</v>
      </c>
      <c r="P9" s="1065">
        <f>IF(P2='0 Úvod'!$G$18+'0 Úvod'!$J$18-1,-1*'2 ZH'!$D$47,0)</f>
        <v>0</v>
      </c>
      <c r="Q9" s="1065">
        <f>IF(Q2='0 Úvod'!$G$18+'0 Úvod'!$J$18-1,-1*'2 ZH'!$D$47,0)</f>
        <v>0</v>
      </c>
      <c r="R9" s="1065">
        <f>IF(R2='0 Úvod'!$G$18+'0 Úvod'!$J$18-1,-1*'2 ZH'!$D$47,0)</f>
        <v>0</v>
      </c>
      <c r="S9" s="1066">
        <f>IF(S2='0 Úvod'!$G$18+'0 Úvod'!$J$18-1,-1*'2 ZH'!$D$47,0)</f>
        <v>0</v>
      </c>
      <c r="T9" s="299"/>
      <c r="U9" s="299"/>
      <c r="V9" s="299"/>
      <c r="W9" s="299"/>
      <c r="X9" s="299"/>
      <c r="Y9" s="299"/>
      <c r="Z9" s="299"/>
      <c r="AA9" s="299"/>
      <c r="AB9" s="299"/>
      <c r="AC9" s="299"/>
    </row>
    <row r="10" spans="1:29" ht="15" thickBot="1" x14ac:dyDescent="0.35">
      <c r="B10" s="1054"/>
      <c r="C10" s="1055" t="str">
        <f>IF('0 Úvod'!$M$10="English",Slovnik!D440,Slovnik!C440)</f>
        <v>Celkové náklady</v>
      </c>
      <c r="D10" s="1056">
        <f t="shared" ref="D10:S10" si="2">SUM(D6:D9)</f>
        <v>0</v>
      </c>
      <c r="E10" s="1068">
        <f t="shared" si="2"/>
        <v>0</v>
      </c>
      <c r="F10" s="1069">
        <f t="shared" si="2"/>
        <v>0</v>
      </c>
      <c r="G10" s="1069">
        <f t="shared" si="2"/>
        <v>0</v>
      </c>
      <c r="H10" s="1069">
        <f t="shared" si="2"/>
        <v>0</v>
      </c>
      <c r="I10" s="1069">
        <f t="shared" si="2"/>
        <v>0</v>
      </c>
      <c r="J10" s="1069">
        <f t="shared" si="2"/>
        <v>0</v>
      </c>
      <c r="K10" s="1069">
        <f t="shared" si="2"/>
        <v>0</v>
      </c>
      <c r="L10" s="1069">
        <f t="shared" si="2"/>
        <v>0</v>
      </c>
      <c r="M10" s="1069">
        <f t="shared" si="2"/>
        <v>0</v>
      </c>
      <c r="N10" s="1069">
        <f t="shared" si="2"/>
        <v>0</v>
      </c>
      <c r="O10" s="1069">
        <f t="shared" si="2"/>
        <v>0</v>
      </c>
      <c r="P10" s="1069">
        <f t="shared" si="2"/>
        <v>0</v>
      </c>
      <c r="Q10" s="1069">
        <f t="shared" si="2"/>
        <v>0</v>
      </c>
      <c r="R10" s="1069">
        <f t="shared" si="2"/>
        <v>0</v>
      </c>
      <c r="S10" s="1070">
        <f t="shared" si="2"/>
        <v>0</v>
      </c>
      <c r="T10" s="300"/>
      <c r="U10" s="300"/>
      <c r="V10" s="300"/>
      <c r="W10" s="300"/>
      <c r="X10" s="300"/>
      <c r="Y10" s="300"/>
      <c r="Z10" s="300"/>
      <c r="AA10" s="300"/>
      <c r="AB10" s="300"/>
      <c r="AC10" s="300"/>
    </row>
    <row r="11" spans="1:29" ht="14.25" x14ac:dyDescent="0.3">
      <c r="B11" s="1071"/>
      <c r="C11" s="1072" t="s">
        <v>1386</v>
      </c>
      <c r="D11" s="1073"/>
      <c r="E11" s="1074">
        <f t="shared" ref="E11:S11" si="3">E5-E10</f>
        <v>0</v>
      </c>
      <c r="F11" s="1073">
        <f t="shared" si="3"/>
        <v>0</v>
      </c>
      <c r="G11" s="1073">
        <f t="shared" si="3"/>
        <v>0</v>
      </c>
      <c r="H11" s="1073">
        <f t="shared" si="3"/>
        <v>0</v>
      </c>
      <c r="I11" s="1073">
        <f t="shared" si="3"/>
        <v>0</v>
      </c>
      <c r="J11" s="1073">
        <f t="shared" si="3"/>
        <v>0</v>
      </c>
      <c r="K11" s="1073">
        <f t="shared" si="3"/>
        <v>0</v>
      </c>
      <c r="L11" s="1073">
        <f t="shared" si="3"/>
        <v>0</v>
      </c>
      <c r="M11" s="1073">
        <f t="shared" si="3"/>
        <v>0</v>
      </c>
      <c r="N11" s="1073">
        <f t="shared" si="3"/>
        <v>0</v>
      </c>
      <c r="O11" s="1073">
        <f t="shared" si="3"/>
        <v>0</v>
      </c>
      <c r="P11" s="1073">
        <f t="shared" si="3"/>
        <v>0</v>
      </c>
      <c r="Q11" s="1073">
        <f t="shared" si="3"/>
        <v>0</v>
      </c>
      <c r="R11" s="1073">
        <f t="shared" si="3"/>
        <v>0</v>
      </c>
      <c r="S11" s="1075">
        <f t="shared" si="3"/>
        <v>0</v>
      </c>
      <c r="T11" s="300"/>
      <c r="U11" s="300"/>
      <c r="V11" s="300"/>
      <c r="W11" s="300"/>
      <c r="X11" s="300"/>
      <c r="Y11" s="300"/>
      <c r="Z11" s="300"/>
      <c r="AA11" s="300"/>
      <c r="AB11" s="300"/>
      <c r="AC11" s="300"/>
    </row>
    <row r="12" spans="1:29" ht="14.25" x14ac:dyDescent="0.3">
      <c r="A12" s="277"/>
      <c r="B12" s="1076"/>
      <c r="C12" s="1067" t="s">
        <v>1387</v>
      </c>
      <c r="D12" s="1065">
        <f>SUM(E12:S12,E33:S33)</f>
        <v>0</v>
      </c>
      <c r="E12" s="1077">
        <f>$E$44*'1 CIN'!E16</f>
        <v>0</v>
      </c>
      <c r="F12" s="1078">
        <f>$E$44*'1 CIN'!F16</f>
        <v>0</v>
      </c>
      <c r="G12" s="1078">
        <f>$E$44*'1 CIN'!G16</f>
        <v>0</v>
      </c>
      <c r="H12" s="1078">
        <f>$E$44*'1 CIN'!H16</f>
        <v>0</v>
      </c>
      <c r="I12" s="1078">
        <f>$E$44*'1 CIN'!I16</f>
        <v>0</v>
      </c>
      <c r="J12" s="1078">
        <f>$E$44*'1 CIN'!J16</f>
        <v>0</v>
      </c>
      <c r="K12" s="1078">
        <f>$E$44*'1 CIN'!K16</f>
        <v>0</v>
      </c>
      <c r="L12" s="1078">
        <f>$E$44*'1 CIN'!L16</f>
        <v>0</v>
      </c>
      <c r="M12" s="1078">
        <f>$E$44*'1 CIN'!M16</f>
        <v>0</v>
      </c>
      <c r="N12" s="1078">
        <f>$E$44*'1 CIN'!N16</f>
        <v>0</v>
      </c>
      <c r="O12" s="1078">
        <f>$E$44*'1 CIN'!O16</f>
        <v>0</v>
      </c>
      <c r="P12" s="1078">
        <f>$E$44*'1 CIN'!P16</f>
        <v>0</v>
      </c>
      <c r="Q12" s="1078">
        <f>$E$44*'1 CIN'!Q16</f>
        <v>0</v>
      </c>
      <c r="R12" s="1078">
        <f>$E$44*'1 CIN'!R16</f>
        <v>0</v>
      </c>
      <c r="S12" s="1079">
        <f>$E$44*'1 CIN'!S16</f>
        <v>0</v>
      </c>
      <c r="T12" s="302"/>
      <c r="U12" s="302"/>
      <c r="V12" s="302"/>
      <c r="W12" s="302"/>
      <c r="X12" s="302"/>
      <c r="Y12" s="302"/>
      <c r="Z12" s="302"/>
      <c r="AA12" s="302"/>
      <c r="AB12" s="302"/>
      <c r="AC12" s="302"/>
    </row>
    <row r="13" spans="1:29" ht="14.25" x14ac:dyDescent="0.3">
      <c r="A13" s="277"/>
      <c r="B13" s="1080"/>
      <c r="C13" s="1081" t="s">
        <v>1388</v>
      </c>
      <c r="D13" s="1082"/>
      <c r="E13" s="1083">
        <f>E12+E11</f>
        <v>0</v>
      </c>
      <c r="F13" s="1084">
        <f t="shared" ref="F13:S13" si="4">F12+F11</f>
        <v>0</v>
      </c>
      <c r="G13" s="1084">
        <f t="shared" si="4"/>
        <v>0</v>
      </c>
      <c r="H13" s="1084">
        <f t="shared" si="4"/>
        <v>0</v>
      </c>
      <c r="I13" s="1084">
        <f t="shared" si="4"/>
        <v>0</v>
      </c>
      <c r="J13" s="1084">
        <f t="shared" si="4"/>
        <v>0</v>
      </c>
      <c r="K13" s="1084">
        <f t="shared" si="4"/>
        <v>0</v>
      </c>
      <c r="L13" s="1084">
        <f t="shared" si="4"/>
        <v>0</v>
      </c>
      <c r="M13" s="1084">
        <f t="shared" si="4"/>
        <v>0</v>
      </c>
      <c r="N13" s="1084">
        <f t="shared" si="4"/>
        <v>0</v>
      </c>
      <c r="O13" s="1084">
        <f t="shared" si="4"/>
        <v>0</v>
      </c>
      <c r="P13" s="1084">
        <f t="shared" si="4"/>
        <v>0</v>
      </c>
      <c r="Q13" s="1084">
        <f t="shared" si="4"/>
        <v>0</v>
      </c>
      <c r="R13" s="1084">
        <f t="shared" si="4"/>
        <v>0</v>
      </c>
      <c r="S13" s="1085">
        <f t="shared" si="4"/>
        <v>0</v>
      </c>
      <c r="T13" s="302"/>
      <c r="U13" s="302"/>
      <c r="V13" s="302"/>
      <c r="W13" s="302"/>
      <c r="X13" s="302"/>
      <c r="Y13" s="302"/>
      <c r="Z13" s="302"/>
      <c r="AA13" s="302"/>
      <c r="AB13" s="302"/>
      <c r="AC13" s="302"/>
    </row>
    <row r="14" spans="1:29" ht="14.25" x14ac:dyDescent="0.3">
      <c r="A14" s="277"/>
      <c r="B14" s="1076"/>
      <c r="C14" s="1086" t="s">
        <v>1389</v>
      </c>
      <c r="D14" s="1087"/>
      <c r="E14" s="1143"/>
      <c r="F14" s="1144"/>
      <c r="G14" s="1144"/>
      <c r="H14" s="1144"/>
      <c r="I14" s="1144"/>
      <c r="J14" s="1144"/>
      <c r="K14" s="1144"/>
      <c r="L14" s="1144"/>
      <c r="M14" s="1144"/>
      <c r="N14" s="1144"/>
      <c r="O14" s="1144"/>
      <c r="P14" s="1144"/>
      <c r="Q14" s="1144"/>
      <c r="R14" s="1144"/>
      <c r="S14" s="1145"/>
      <c r="T14" s="302"/>
      <c r="U14" s="302"/>
      <c r="V14" s="302"/>
      <c r="W14" s="302"/>
      <c r="X14" s="302"/>
      <c r="Y14" s="302"/>
      <c r="Z14" s="302"/>
      <c r="AA14" s="302"/>
      <c r="AB14" s="302"/>
      <c r="AC14" s="302"/>
    </row>
    <row r="15" spans="1:29" ht="14.25" x14ac:dyDescent="0.3">
      <c r="A15" s="277"/>
      <c r="B15" s="1076"/>
      <c r="C15" s="1086" t="s">
        <v>1390</v>
      </c>
      <c r="D15" s="1087"/>
      <c r="E15" s="1143"/>
      <c r="F15" s="1144"/>
      <c r="G15" s="1144"/>
      <c r="H15" s="1144"/>
      <c r="I15" s="1144"/>
      <c r="J15" s="1144"/>
      <c r="K15" s="1144"/>
      <c r="L15" s="1144"/>
      <c r="M15" s="1144"/>
      <c r="N15" s="1144"/>
      <c r="O15" s="1144"/>
      <c r="P15" s="1144"/>
      <c r="Q15" s="1144"/>
      <c r="R15" s="1144"/>
      <c r="S15" s="1145"/>
      <c r="T15" s="302"/>
      <c r="U15" s="302"/>
      <c r="V15" s="302"/>
      <c r="W15" s="302"/>
      <c r="X15" s="302"/>
      <c r="Y15" s="302"/>
      <c r="Z15" s="302"/>
      <c r="AA15" s="302"/>
      <c r="AB15" s="302"/>
      <c r="AC15" s="302"/>
    </row>
    <row r="16" spans="1:29" ht="14.25" x14ac:dyDescent="0.3">
      <c r="A16" s="277"/>
      <c r="B16" s="1076"/>
      <c r="C16" s="1142" t="s">
        <v>1391</v>
      </c>
      <c r="D16" s="1087"/>
      <c r="E16" s="1143"/>
      <c r="F16" s="1144"/>
      <c r="G16" s="1144"/>
      <c r="H16" s="1144"/>
      <c r="I16" s="1144"/>
      <c r="J16" s="1144"/>
      <c r="K16" s="1144"/>
      <c r="L16" s="1144"/>
      <c r="M16" s="1144"/>
      <c r="N16" s="1144"/>
      <c r="O16" s="1144"/>
      <c r="P16" s="1144"/>
      <c r="Q16" s="1144"/>
      <c r="R16" s="1144"/>
      <c r="S16" s="1145"/>
      <c r="T16" s="302"/>
      <c r="U16" s="302"/>
      <c r="V16" s="302"/>
      <c r="W16" s="302"/>
      <c r="X16" s="302"/>
      <c r="Y16" s="302"/>
      <c r="Z16" s="302"/>
      <c r="AA16" s="302"/>
      <c r="AB16" s="302"/>
      <c r="AC16" s="302"/>
    </row>
    <row r="17" spans="1:29" ht="15" thickBot="1" x14ac:dyDescent="0.35">
      <c r="A17" s="277"/>
      <c r="B17" s="1076"/>
      <c r="C17" s="1086" t="s">
        <v>1392</v>
      </c>
      <c r="D17" s="1087"/>
      <c r="E17" s="1143"/>
      <c r="F17" s="1144"/>
      <c r="G17" s="1144"/>
      <c r="H17" s="1144"/>
      <c r="I17" s="1144"/>
      <c r="J17" s="1144"/>
      <c r="K17" s="1144"/>
      <c r="L17" s="1144"/>
      <c r="M17" s="1144"/>
      <c r="N17" s="1144"/>
      <c r="O17" s="1144"/>
      <c r="P17" s="1144"/>
      <c r="Q17" s="1144"/>
      <c r="R17" s="1144"/>
      <c r="S17" s="1145"/>
      <c r="T17" s="302"/>
      <c r="U17" s="302"/>
      <c r="V17" s="302"/>
      <c r="W17" s="302"/>
      <c r="X17" s="302"/>
      <c r="Y17" s="302"/>
      <c r="Z17" s="302"/>
      <c r="AA17" s="302"/>
      <c r="AB17" s="302"/>
      <c r="AC17" s="302"/>
    </row>
    <row r="18" spans="1:29" ht="14.25" x14ac:dyDescent="0.3">
      <c r="A18" s="277"/>
      <c r="B18" s="1088"/>
      <c r="C18" s="1089" t="s">
        <v>1144</v>
      </c>
      <c r="D18" s="1090"/>
      <c r="E18" s="1060">
        <f>E12+E14-E15+E16+E17</f>
        <v>0</v>
      </c>
      <c r="F18" s="1052">
        <f t="shared" ref="F18:S18" si="5">F12+F14-F15+F16+F17</f>
        <v>0</v>
      </c>
      <c r="G18" s="1052">
        <f t="shared" si="5"/>
        <v>0</v>
      </c>
      <c r="H18" s="1052">
        <f t="shared" si="5"/>
        <v>0</v>
      </c>
      <c r="I18" s="1052">
        <f t="shared" si="5"/>
        <v>0</v>
      </c>
      <c r="J18" s="1052">
        <f t="shared" si="5"/>
        <v>0</v>
      </c>
      <c r="K18" s="1052">
        <f t="shared" si="5"/>
        <v>0</v>
      </c>
      <c r="L18" s="1052">
        <f t="shared" si="5"/>
        <v>0</v>
      </c>
      <c r="M18" s="1052">
        <f t="shared" si="5"/>
        <v>0</v>
      </c>
      <c r="N18" s="1052">
        <f t="shared" si="5"/>
        <v>0</v>
      </c>
      <c r="O18" s="1052">
        <f t="shared" si="5"/>
        <v>0</v>
      </c>
      <c r="P18" s="1052">
        <f t="shared" si="5"/>
        <v>0</v>
      </c>
      <c r="Q18" s="1052">
        <f t="shared" si="5"/>
        <v>0</v>
      </c>
      <c r="R18" s="1052">
        <f t="shared" si="5"/>
        <v>0</v>
      </c>
      <c r="S18" s="1053">
        <f t="shared" si="5"/>
        <v>0</v>
      </c>
      <c r="T18" s="302"/>
      <c r="U18" s="302"/>
      <c r="V18" s="302"/>
      <c r="W18" s="302"/>
      <c r="X18" s="302"/>
      <c r="Y18" s="302"/>
      <c r="Z18" s="302"/>
      <c r="AA18" s="302"/>
      <c r="AB18" s="302"/>
      <c r="AC18" s="302"/>
    </row>
    <row r="19" spans="1:29" ht="14.25" x14ac:dyDescent="0.3">
      <c r="A19" s="277"/>
      <c r="B19" s="1076"/>
      <c r="C19" s="1086" t="s">
        <v>1393</v>
      </c>
      <c r="D19" s="1087"/>
      <c r="E19" s="1064">
        <f>E18+E11</f>
        <v>0</v>
      </c>
      <c r="F19" s="1065">
        <f t="shared" ref="F19:S19" si="6">F18+F11</f>
        <v>0</v>
      </c>
      <c r="G19" s="1065">
        <f t="shared" si="6"/>
        <v>0</v>
      </c>
      <c r="H19" s="1065">
        <f t="shared" si="6"/>
        <v>0</v>
      </c>
      <c r="I19" s="1065">
        <f t="shared" si="6"/>
        <v>0</v>
      </c>
      <c r="J19" s="1065">
        <f t="shared" si="6"/>
        <v>0</v>
      </c>
      <c r="K19" s="1065">
        <f t="shared" si="6"/>
        <v>0</v>
      </c>
      <c r="L19" s="1065">
        <f t="shared" si="6"/>
        <v>0</v>
      </c>
      <c r="M19" s="1065">
        <f t="shared" si="6"/>
        <v>0</v>
      </c>
      <c r="N19" s="1065">
        <f t="shared" si="6"/>
        <v>0</v>
      </c>
      <c r="O19" s="1065">
        <f t="shared" si="6"/>
        <v>0</v>
      </c>
      <c r="P19" s="1065">
        <f t="shared" si="6"/>
        <v>0</v>
      </c>
      <c r="Q19" s="1065">
        <f t="shared" si="6"/>
        <v>0</v>
      </c>
      <c r="R19" s="1065">
        <f t="shared" si="6"/>
        <v>0</v>
      </c>
      <c r="S19" s="1066">
        <f t="shared" si="6"/>
        <v>0</v>
      </c>
      <c r="T19" s="302"/>
      <c r="U19" s="302"/>
      <c r="V19" s="302"/>
      <c r="W19" s="302"/>
      <c r="X19" s="302"/>
      <c r="Y19" s="302"/>
      <c r="Z19" s="302"/>
      <c r="AA19" s="302"/>
      <c r="AB19" s="302"/>
      <c r="AC19" s="302"/>
    </row>
    <row r="20" spans="1:29" ht="15" thickBot="1" x14ac:dyDescent="0.35">
      <c r="A20" s="277"/>
      <c r="B20" s="1091"/>
      <c r="C20" s="1092" t="s">
        <v>1394</v>
      </c>
      <c r="D20" s="1093"/>
      <c r="E20" s="1642">
        <f>E19</f>
        <v>0</v>
      </c>
      <c r="F20" s="1094">
        <f>E20+F19</f>
        <v>0</v>
      </c>
      <c r="G20" s="1094">
        <f t="shared" ref="G20:S20" si="7">F20+G19</f>
        <v>0</v>
      </c>
      <c r="H20" s="1094">
        <f t="shared" si="7"/>
        <v>0</v>
      </c>
      <c r="I20" s="1094">
        <f t="shared" si="7"/>
        <v>0</v>
      </c>
      <c r="J20" s="1094">
        <f t="shared" si="7"/>
        <v>0</v>
      </c>
      <c r="K20" s="1094">
        <f t="shared" si="7"/>
        <v>0</v>
      </c>
      <c r="L20" s="1094">
        <f t="shared" si="7"/>
        <v>0</v>
      </c>
      <c r="M20" s="1094">
        <f t="shared" si="7"/>
        <v>0</v>
      </c>
      <c r="N20" s="1094">
        <f t="shared" si="7"/>
        <v>0</v>
      </c>
      <c r="O20" s="1094">
        <f t="shared" si="7"/>
        <v>0</v>
      </c>
      <c r="P20" s="1094">
        <f t="shared" si="7"/>
        <v>0</v>
      </c>
      <c r="Q20" s="1094">
        <f t="shared" si="7"/>
        <v>0</v>
      </c>
      <c r="R20" s="1094">
        <f t="shared" si="7"/>
        <v>0</v>
      </c>
      <c r="S20" s="1095">
        <f t="shared" si="7"/>
        <v>0</v>
      </c>
      <c r="T20" s="302"/>
      <c r="U20" s="302"/>
      <c r="V20" s="302"/>
      <c r="W20" s="302"/>
      <c r="X20" s="302"/>
      <c r="Y20" s="302"/>
      <c r="Z20" s="302"/>
      <c r="AA20" s="302"/>
      <c r="AB20" s="302"/>
      <c r="AC20" s="302"/>
    </row>
    <row r="21" spans="1:29" ht="14.25" hidden="1" x14ac:dyDescent="0.3">
      <c r="A21" s="277"/>
      <c r="B21" s="585"/>
      <c r="C21" s="585" t="s">
        <v>1395</v>
      </c>
      <c r="D21" s="1096"/>
      <c r="E21" s="1097">
        <f>IF(E20&gt;=0,0,999)</f>
        <v>0</v>
      </c>
      <c r="F21" s="1097">
        <f t="shared" ref="F21:S21" si="8">IF(F20&gt;=0,0,999)</f>
        <v>0</v>
      </c>
      <c r="G21" s="1097">
        <f t="shared" si="8"/>
        <v>0</v>
      </c>
      <c r="H21" s="1097">
        <f t="shared" si="8"/>
        <v>0</v>
      </c>
      <c r="I21" s="1097">
        <f t="shared" si="8"/>
        <v>0</v>
      </c>
      <c r="J21" s="1097">
        <f t="shared" si="8"/>
        <v>0</v>
      </c>
      <c r="K21" s="1097">
        <f t="shared" si="8"/>
        <v>0</v>
      </c>
      <c r="L21" s="1097">
        <f t="shared" si="8"/>
        <v>0</v>
      </c>
      <c r="M21" s="1097">
        <f t="shared" si="8"/>
        <v>0</v>
      </c>
      <c r="N21" s="1097">
        <f t="shared" si="8"/>
        <v>0</v>
      </c>
      <c r="O21" s="1097">
        <f t="shared" si="8"/>
        <v>0</v>
      </c>
      <c r="P21" s="1097">
        <f t="shared" si="8"/>
        <v>0</v>
      </c>
      <c r="Q21" s="1097">
        <f t="shared" si="8"/>
        <v>0</v>
      </c>
      <c r="R21" s="1097">
        <f t="shared" si="8"/>
        <v>0</v>
      </c>
      <c r="S21" s="1097">
        <f t="shared" si="8"/>
        <v>0</v>
      </c>
      <c r="T21" s="302"/>
      <c r="U21" s="302"/>
      <c r="V21" s="302"/>
      <c r="W21" s="302"/>
      <c r="X21" s="302"/>
      <c r="Y21" s="302"/>
      <c r="Z21" s="302"/>
      <c r="AA21" s="302"/>
      <c r="AB21" s="302"/>
      <c r="AC21" s="302"/>
    </row>
    <row r="22" spans="1:29" ht="12" customHeight="1" thickBot="1" x14ac:dyDescent="0.35">
      <c r="B22" s="585"/>
      <c r="C22" s="585"/>
      <c r="D22" s="1096"/>
      <c r="E22" s="1098">
        <f>IF(E2&gt;='0 Úvod'!$D$20,E4-E6-E7,0)</f>
        <v>0</v>
      </c>
      <c r="F22" s="1098">
        <f>IF(F2&gt;='0 Úvod'!$D$20,F4-F6-F7,0)</f>
        <v>0</v>
      </c>
      <c r="G22" s="1098">
        <f>IF(G2&gt;='0 Úvod'!$D$20,G4-G6-G7,0)</f>
        <v>0</v>
      </c>
      <c r="H22" s="1098">
        <f>IF(H2&gt;='0 Úvod'!$D$20,H4-H6-H7,0)</f>
        <v>0</v>
      </c>
      <c r="I22" s="1098">
        <f>IF(I2&gt;='0 Úvod'!$D$20,I4-I6-I7,0)</f>
        <v>0</v>
      </c>
      <c r="J22" s="1098">
        <f>IF(J2&gt;='0 Úvod'!$D$20,J4-J6-J7,0)</f>
        <v>0</v>
      </c>
      <c r="K22" s="1098">
        <f>IF(K2&gt;='0 Úvod'!$D$20,K4-K6-K7,0)</f>
        <v>0</v>
      </c>
      <c r="L22" s="1098">
        <f>IF(L2&gt;='0 Úvod'!$D$20,L4-L6-L7,0)</f>
        <v>0</v>
      </c>
      <c r="M22" s="1098">
        <f>IF(M2&gt;='0 Úvod'!$D$20,M4-M6-M7,0)</f>
        <v>0</v>
      </c>
      <c r="N22" s="1098">
        <f>IF(N2&gt;='0 Úvod'!$D$20,N4-N6-N7,0)</f>
        <v>0</v>
      </c>
      <c r="O22" s="1098">
        <f>IF(O2&gt;='0 Úvod'!$D$20,O4-O6-O7,0)</f>
        <v>0</v>
      </c>
      <c r="P22" s="1098">
        <f>IF(P2&gt;='0 Úvod'!$D$20,P4-P6-P7,0)</f>
        <v>0</v>
      </c>
      <c r="Q22" s="1098">
        <f>IF(Q2&gt;='0 Úvod'!$D$20,Q4-Q6-Q7,0)</f>
        <v>0</v>
      </c>
      <c r="R22" s="1098">
        <f>IF(R2&gt;='0 Úvod'!$D$20,R4-R6-R7,0)</f>
        <v>0</v>
      </c>
      <c r="S22" s="1098">
        <f>IF(S2&gt;='0 Úvod'!$D$20,S4-S6-S7,0)</f>
        <v>0</v>
      </c>
      <c r="T22" s="299"/>
      <c r="U22" s="299"/>
      <c r="V22" s="299"/>
      <c r="W22" s="299"/>
      <c r="X22" s="299"/>
      <c r="Y22" s="299"/>
      <c r="Z22" s="299"/>
      <c r="AA22" s="299"/>
      <c r="AB22" s="299"/>
    </row>
    <row r="23" spans="1:29" ht="14.25" x14ac:dyDescent="0.3">
      <c r="A23" s="303"/>
      <c r="B23" s="1099" t="s">
        <v>43</v>
      </c>
      <c r="C23" s="830" t="str">
        <f>C2</f>
        <v xml:space="preserve">Finanční analýza projektu </v>
      </c>
      <c r="D23" s="1100"/>
      <c r="E23" s="1917">
        <f>S2+1</f>
        <v>2041</v>
      </c>
      <c r="F23" s="1907">
        <f t="shared" ref="F23:S23" si="9">E23+1</f>
        <v>2042</v>
      </c>
      <c r="G23" s="1907">
        <f t="shared" si="9"/>
        <v>2043</v>
      </c>
      <c r="H23" s="1907">
        <f t="shared" si="9"/>
        <v>2044</v>
      </c>
      <c r="I23" s="1907">
        <f t="shared" si="9"/>
        <v>2045</v>
      </c>
      <c r="J23" s="1907">
        <f t="shared" si="9"/>
        <v>2046</v>
      </c>
      <c r="K23" s="1907">
        <f t="shared" si="9"/>
        <v>2047</v>
      </c>
      <c r="L23" s="1907">
        <f t="shared" si="9"/>
        <v>2048</v>
      </c>
      <c r="M23" s="1907">
        <f t="shared" si="9"/>
        <v>2049</v>
      </c>
      <c r="N23" s="1907">
        <f t="shared" si="9"/>
        <v>2050</v>
      </c>
      <c r="O23" s="1907">
        <f t="shared" si="9"/>
        <v>2051</v>
      </c>
      <c r="P23" s="1907">
        <f t="shared" si="9"/>
        <v>2052</v>
      </c>
      <c r="Q23" s="1907">
        <f t="shared" si="9"/>
        <v>2053</v>
      </c>
      <c r="R23" s="1907">
        <f t="shared" si="9"/>
        <v>2054</v>
      </c>
      <c r="S23" s="1911">
        <f t="shared" si="9"/>
        <v>2055</v>
      </c>
      <c r="T23" s="282"/>
      <c r="U23" s="283"/>
      <c r="V23" s="283"/>
      <c r="W23" s="283"/>
      <c r="X23" s="283"/>
      <c r="Y23" s="283"/>
      <c r="Z23" s="283"/>
      <c r="AA23" s="283"/>
      <c r="AB23" s="283"/>
      <c r="AC23" s="283"/>
    </row>
    <row r="24" spans="1:29" ht="12.75" customHeight="1" thickBot="1" x14ac:dyDescent="0.35">
      <c r="A24" s="304"/>
      <c r="B24" s="832" t="s">
        <v>5</v>
      </c>
      <c r="C24" s="1101"/>
      <c r="D24" s="649"/>
      <c r="E24" s="1918"/>
      <c r="F24" s="1908"/>
      <c r="G24" s="1908"/>
      <c r="H24" s="1908"/>
      <c r="I24" s="1908"/>
      <c r="J24" s="1908"/>
      <c r="K24" s="1908"/>
      <c r="L24" s="1908"/>
      <c r="M24" s="1908"/>
      <c r="N24" s="1908"/>
      <c r="O24" s="1908"/>
      <c r="P24" s="1908"/>
      <c r="Q24" s="1908"/>
      <c r="R24" s="1908"/>
      <c r="S24" s="1912"/>
      <c r="T24" s="282"/>
      <c r="U24" s="283"/>
      <c r="V24" s="283"/>
      <c r="W24" s="283"/>
      <c r="X24" s="283"/>
      <c r="Y24" s="283"/>
      <c r="Z24" s="283"/>
      <c r="AA24" s="283"/>
      <c r="AB24" s="283"/>
      <c r="AC24" s="283"/>
    </row>
    <row r="25" spans="1:29" ht="14.25" x14ac:dyDescent="0.3">
      <c r="B25" s="1049"/>
      <c r="C25" s="1102" t="str">
        <f t="shared" ref="C25:C32" si="10">C4</f>
        <v>Celkové přírůstkové provozní příjmy</v>
      </c>
      <c r="D25" s="1103"/>
      <c r="E25" s="1052">
        <f>IF(E23&lt;=('0 Úvod'!$G$18+'0 Úvod'!$J$18-1),'6 Příjmy'!E41,0)</f>
        <v>0</v>
      </c>
      <c r="F25" s="1052">
        <f>IF(F23&lt;=('0 Úvod'!$G$18+'0 Úvod'!$J$18-1),'6 Příjmy'!F41,0)</f>
        <v>0</v>
      </c>
      <c r="G25" s="1052">
        <f>IF(G23&lt;=('0 Úvod'!$G$18+'0 Úvod'!$J$18-1),'6 Příjmy'!G41,0)</f>
        <v>0</v>
      </c>
      <c r="H25" s="1052">
        <f>IF(H23&lt;=('0 Úvod'!$G$18+'0 Úvod'!$J$18-1),'6 Příjmy'!H41,0)</f>
        <v>0</v>
      </c>
      <c r="I25" s="1052">
        <f>IF(I23&lt;=('0 Úvod'!$G$18+'0 Úvod'!$J$18-1),'6 Příjmy'!I41,0)</f>
        <v>0</v>
      </c>
      <c r="J25" s="1052">
        <f>IF(J23&lt;=('0 Úvod'!$G$18+'0 Úvod'!$J$18-1),'6 Příjmy'!J41,0)</f>
        <v>0</v>
      </c>
      <c r="K25" s="1052">
        <f>IF(K23&lt;=('0 Úvod'!$G$18+'0 Úvod'!$J$18-1),'6 Příjmy'!K41,0)</f>
        <v>0</v>
      </c>
      <c r="L25" s="1052">
        <f>IF(L23&lt;=('0 Úvod'!$G$18+'0 Úvod'!$J$18-1),'6 Příjmy'!L41,0)</f>
        <v>0</v>
      </c>
      <c r="M25" s="1052">
        <f>IF(M23&lt;=('0 Úvod'!$G$18+'0 Úvod'!$J$18-1),'6 Příjmy'!M41,0)</f>
        <v>0</v>
      </c>
      <c r="N25" s="1052">
        <f>IF(N23&lt;=('0 Úvod'!$G$18+'0 Úvod'!$J$18-1),'6 Příjmy'!N41,0)</f>
        <v>0</v>
      </c>
      <c r="O25" s="1052">
        <f>IF(O23&lt;=('0 Úvod'!$G$18+'0 Úvod'!$J$18-1),'6 Příjmy'!O41,0)</f>
        <v>0</v>
      </c>
      <c r="P25" s="1052">
        <f>IF(P23&lt;=('0 Úvod'!$G$18+'0 Úvod'!$J$18-1),'6 Příjmy'!P41,0)</f>
        <v>0</v>
      </c>
      <c r="Q25" s="1052">
        <f>IF(Q23&lt;=('0 Úvod'!$G$18+'0 Úvod'!$J$18-1),'6 Příjmy'!Q41,0)</f>
        <v>0</v>
      </c>
      <c r="R25" s="1052">
        <f>IF(R23&lt;=('0 Úvod'!$G$18+'0 Úvod'!$J$18-1),'6 Příjmy'!R41,0)</f>
        <v>0</v>
      </c>
      <c r="S25" s="1053">
        <f>IF(S23&lt;=('0 Úvod'!$G$18+'0 Úvod'!$J$18-1),'6 Příjmy'!S41,0)</f>
        <v>0</v>
      </c>
      <c r="T25" s="299"/>
      <c r="U25" s="299"/>
      <c r="V25" s="299"/>
      <c r="W25" s="299"/>
      <c r="X25" s="299"/>
      <c r="Y25" s="299"/>
      <c r="Z25" s="299"/>
      <c r="AA25" s="299"/>
      <c r="AB25" s="299"/>
      <c r="AC25" s="299"/>
    </row>
    <row r="26" spans="1:29" ht="15" thickBot="1" x14ac:dyDescent="0.35">
      <c r="B26" s="1054"/>
      <c r="C26" s="1104" t="str">
        <f t="shared" si="10"/>
        <v>Celkové výnosy</v>
      </c>
      <c r="D26" s="1105"/>
      <c r="E26" s="1057">
        <f>SUM(E25)</f>
        <v>0</v>
      </c>
      <c r="F26" s="1057">
        <f t="shared" ref="F26:S26" si="11">SUM(F25)</f>
        <v>0</v>
      </c>
      <c r="G26" s="1057">
        <f t="shared" si="11"/>
        <v>0</v>
      </c>
      <c r="H26" s="1057">
        <f t="shared" si="11"/>
        <v>0</v>
      </c>
      <c r="I26" s="1057">
        <f t="shared" si="11"/>
        <v>0</v>
      </c>
      <c r="J26" s="1057">
        <f t="shared" si="11"/>
        <v>0</v>
      </c>
      <c r="K26" s="1057">
        <f t="shared" si="11"/>
        <v>0</v>
      </c>
      <c r="L26" s="1057">
        <f t="shared" si="11"/>
        <v>0</v>
      </c>
      <c r="M26" s="1057">
        <f t="shared" si="11"/>
        <v>0</v>
      </c>
      <c r="N26" s="1057">
        <f t="shared" si="11"/>
        <v>0</v>
      </c>
      <c r="O26" s="1057">
        <f t="shared" si="11"/>
        <v>0</v>
      </c>
      <c r="P26" s="1057">
        <f t="shared" si="11"/>
        <v>0</v>
      </c>
      <c r="Q26" s="1057">
        <f t="shared" si="11"/>
        <v>0</v>
      </c>
      <c r="R26" s="1057">
        <f t="shared" si="11"/>
        <v>0</v>
      </c>
      <c r="S26" s="1058">
        <f t="shared" si="11"/>
        <v>0</v>
      </c>
      <c r="T26" s="300"/>
      <c r="U26" s="300"/>
      <c r="V26" s="300"/>
      <c r="W26" s="300"/>
      <c r="X26" s="300"/>
      <c r="Y26" s="300"/>
      <c r="Z26" s="300"/>
      <c r="AA26" s="300"/>
      <c r="AB26" s="300"/>
      <c r="AC26" s="300"/>
    </row>
    <row r="27" spans="1:29" ht="14.25" x14ac:dyDescent="0.3">
      <c r="B27" s="1049"/>
      <c r="C27" s="1106" t="str">
        <f t="shared" si="10"/>
        <v>Celkové přírůstkové provozní náklady infrastruktury</v>
      </c>
      <c r="D27" s="1103"/>
      <c r="E27" s="1060">
        <f>IF(E23&lt;=('0 Úvod'!$G$18+'0 Úvod'!$J$18-1),'4 PN infrastruktury'!E78,0)</f>
        <v>0</v>
      </c>
      <c r="F27" s="1052">
        <f>IF(F23&lt;=('0 Úvod'!$G$18+'0 Úvod'!$J$18-1),'4 PN infrastruktury'!F78,0)</f>
        <v>0</v>
      </c>
      <c r="G27" s="1052">
        <f>IF(G23&lt;=('0 Úvod'!$G$18+'0 Úvod'!$J$18-1),'4 PN infrastruktury'!G78,0)</f>
        <v>0</v>
      </c>
      <c r="H27" s="1052">
        <f>IF(H23&lt;=('0 Úvod'!$G$18+'0 Úvod'!$J$18-1),'4 PN infrastruktury'!H78,0)</f>
        <v>0</v>
      </c>
      <c r="I27" s="1052">
        <f>IF(I23&lt;=('0 Úvod'!$G$18+'0 Úvod'!$J$18-1),'4 PN infrastruktury'!I78,0)</f>
        <v>0</v>
      </c>
      <c r="J27" s="1052">
        <f>IF(J23&lt;=('0 Úvod'!$G$18+'0 Úvod'!$J$18-1),'4 PN infrastruktury'!J78,0)</f>
        <v>0</v>
      </c>
      <c r="K27" s="1052">
        <f>IF(K23&lt;=('0 Úvod'!$G$18+'0 Úvod'!$J$18-1),'4 PN infrastruktury'!K78,0)</f>
        <v>0</v>
      </c>
      <c r="L27" s="1052">
        <f>IF(L23&lt;=('0 Úvod'!$G$18+'0 Úvod'!$J$18-1),'4 PN infrastruktury'!L78,0)</f>
        <v>0</v>
      </c>
      <c r="M27" s="1052">
        <f>IF(M23&lt;=('0 Úvod'!$G$18+'0 Úvod'!$J$18-1),'4 PN infrastruktury'!M78,0)</f>
        <v>0</v>
      </c>
      <c r="N27" s="1052">
        <f>IF(N23&lt;=('0 Úvod'!$G$18+'0 Úvod'!$J$18-1),'4 PN infrastruktury'!N78,0)</f>
        <v>0</v>
      </c>
      <c r="O27" s="1052">
        <f>IF(O23&lt;=('0 Úvod'!$G$18+'0 Úvod'!$J$18-1),'4 PN infrastruktury'!O78,0)</f>
        <v>0</v>
      </c>
      <c r="P27" s="1052">
        <f>IF(P23&lt;=('0 Úvod'!$G$18+'0 Úvod'!$J$18-1),'4 PN infrastruktury'!P78,0)</f>
        <v>0</v>
      </c>
      <c r="Q27" s="1052">
        <f>IF(Q23&lt;=('0 Úvod'!$G$18+'0 Úvod'!$J$18-1),'4 PN infrastruktury'!Q78,0)</f>
        <v>0</v>
      </c>
      <c r="R27" s="1052">
        <f>IF(R23&lt;=('0 Úvod'!$G$18+'0 Úvod'!$J$18-1),'4 PN infrastruktury'!R78,0)</f>
        <v>0</v>
      </c>
      <c r="S27" s="1053">
        <f>IF(S23&lt;=('0 Úvod'!$G$18+'0 Úvod'!$J$18-1),'4 PN infrastruktury'!S78,0)</f>
        <v>0</v>
      </c>
      <c r="T27" s="299"/>
      <c r="U27" s="299"/>
      <c r="V27" s="299"/>
      <c r="W27" s="299"/>
      <c r="X27" s="299"/>
      <c r="Y27" s="299"/>
      <c r="Z27" s="299"/>
      <c r="AA27" s="299"/>
      <c r="AB27" s="299"/>
      <c r="AC27" s="299"/>
    </row>
    <row r="28" spans="1:29" ht="14.25" x14ac:dyDescent="0.3">
      <c r="B28" s="1061"/>
      <c r="C28" s="1107" t="str">
        <f t="shared" si="10"/>
        <v>Celkové přírůstkové provozní náklady vozidel</v>
      </c>
      <c r="D28" s="1108"/>
      <c r="E28" s="1064">
        <f>IF(E23&lt;=('0 Úvod'!$G$18+'0 Úvod'!$J$18-1),'5 PN vozidel MHD'!E87,0)</f>
        <v>0</v>
      </c>
      <c r="F28" s="1065">
        <f>IF(F23&lt;=('0 Úvod'!$G$18+'0 Úvod'!$J$18-1),'5 PN vozidel MHD'!F87,0)</f>
        <v>0</v>
      </c>
      <c r="G28" s="1065">
        <f>IF(G23&lt;=('0 Úvod'!$G$18+'0 Úvod'!$J$18-1),'5 PN vozidel MHD'!G87,0)</f>
        <v>0</v>
      </c>
      <c r="H28" s="1065">
        <f>IF(H23&lt;=('0 Úvod'!$G$18+'0 Úvod'!$J$18-1),'5 PN vozidel MHD'!H87,0)</f>
        <v>0</v>
      </c>
      <c r="I28" s="1065">
        <f>IF(I23&lt;=('0 Úvod'!$G$18+'0 Úvod'!$J$18-1),'5 PN vozidel MHD'!I87,0)</f>
        <v>0</v>
      </c>
      <c r="J28" s="1065">
        <f>IF(J23&lt;=('0 Úvod'!$G$18+'0 Úvod'!$J$18-1),'5 PN vozidel MHD'!J87,0)</f>
        <v>0</v>
      </c>
      <c r="K28" s="1065">
        <f>IF(K23&lt;=('0 Úvod'!$G$18+'0 Úvod'!$J$18-1),'5 PN vozidel MHD'!K87,0)</f>
        <v>0</v>
      </c>
      <c r="L28" s="1065">
        <f>IF(L23&lt;=('0 Úvod'!$G$18+'0 Úvod'!$J$18-1),'5 PN vozidel MHD'!L87,0)</f>
        <v>0</v>
      </c>
      <c r="M28" s="1065">
        <f>IF(M23&lt;=('0 Úvod'!$G$18+'0 Úvod'!$J$18-1),'5 PN vozidel MHD'!M87,0)</f>
        <v>0</v>
      </c>
      <c r="N28" s="1065">
        <f>IF(N23&lt;=('0 Úvod'!$G$18+'0 Úvod'!$J$18-1),'5 PN vozidel MHD'!N87,0)</f>
        <v>0</v>
      </c>
      <c r="O28" s="1065">
        <f>IF(O23&lt;=('0 Úvod'!$G$18+'0 Úvod'!$J$18-1),'5 PN vozidel MHD'!O87,0)</f>
        <v>0</v>
      </c>
      <c r="P28" s="1065">
        <f>IF(P23&lt;=('0 Úvod'!$G$18+'0 Úvod'!$J$18-1),'5 PN vozidel MHD'!P87,0)</f>
        <v>0</v>
      </c>
      <c r="Q28" s="1065">
        <f>IF(Q23&lt;=('0 Úvod'!$G$18+'0 Úvod'!$J$18-1),'5 PN vozidel MHD'!Q87,0)</f>
        <v>0</v>
      </c>
      <c r="R28" s="1065">
        <f>IF(R23&lt;=('0 Úvod'!$G$18+'0 Úvod'!$J$18-1),'5 PN vozidel MHD'!R87,0)</f>
        <v>0</v>
      </c>
      <c r="S28" s="1066">
        <f>IF(S23&lt;=('0 Úvod'!$G$18+'0 Úvod'!$J$18-1),'5 PN vozidel MHD'!S87,0)</f>
        <v>0</v>
      </c>
      <c r="T28" s="299"/>
      <c r="U28" s="299"/>
      <c r="V28" s="299"/>
      <c r="W28" s="299"/>
      <c r="X28" s="299"/>
      <c r="Y28" s="299"/>
      <c r="Z28" s="299"/>
      <c r="AA28" s="299"/>
      <c r="AB28" s="299"/>
      <c r="AC28" s="299"/>
    </row>
    <row r="29" spans="1:29" ht="14.25" x14ac:dyDescent="0.3">
      <c r="B29" s="1061"/>
      <c r="C29" s="1109" t="str">
        <f t="shared" si="10"/>
        <v>Celkové invest. náklady bez rezervy</v>
      </c>
      <c r="D29" s="1108"/>
      <c r="E29" s="1064">
        <v>0</v>
      </c>
      <c r="F29" s="1065">
        <v>0</v>
      </c>
      <c r="G29" s="1065">
        <v>0</v>
      </c>
      <c r="H29" s="1065">
        <v>0</v>
      </c>
      <c r="I29" s="1065">
        <v>0</v>
      </c>
      <c r="J29" s="1065">
        <v>0</v>
      </c>
      <c r="K29" s="1065">
        <v>0</v>
      </c>
      <c r="L29" s="1065">
        <v>0</v>
      </c>
      <c r="M29" s="1065">
        <v>0</v>
      </c>
      <c r="N29" s="1065">
        <v>0</v>
      </c>
      <c r="O29" s="1065">
        <v>0</v>
      </c>
      <c r="P29" s="1065">
        <v>0</v>
      </c>
      <c r="Q29" s="1065">
        <v>0</v>
      </c>
      <c r="R29" s="1065">
        <v>0</v>
      </c>
      <c r="S29" s="1066">
        <v>0</v>
      </c>
      <c r="T29" s="299"/>
      <c r="U29" s="299"/>
      <c r="V29" s="299"/>
      <c r="W29" s="299"/>
      <c r="X29" s="299"/>
      <c r="Y29" s="299"/>
      <c r="Z29" s="299"/>
      <c r="AA29" s="299"/>
      <c r="AB29" s="299"/>
      <c r="AC29" s="299"/>
    </row>
    <row r="30" spans="1:29" ht="14.25" x14ac:dyDescent="0.3">
      <c r="B30" s="1061"/>
      <c r="C30" s="1109" t="str">
        <f t="shared" si="10"/>
        <v>Zůstatková hodnota (záporná)</v>
      </c>
      <c r="D30" s="1108"/>
      <c r="E30" s="1064">
        <f>IF(E23='0 Úvod'!$G$18+'0 Úvod'!$J$18-1,-1*'2 ZH'!$D$47,0)</f>
        <v>0</v>
      </c>
      <c r="F30" s="1065">
        <f>IF(F23='0 Úvod'!$G$18+'0 Úvod'!$J$18-1,-1*'2 ZH'!$D$47,0)</f>
        <v>0</v>
      </c>
      <c r="G30" s="1065">
        <f>IF(G23='0 Úvod'!$G$18+'0 Úvod'!$J$18-1,-1*'2 ZH'!$D$47,0)</f>
        <v>0</v>
      </c>
      <c r="H30" s="1065">
        <f>IF(H23='0 Úvod'!$G$18+'0 Úvod'!$J$18-1,-1*'2 ZH'!$D$47,0)</f>
        <v>0</v>
      </c>
      <c r="I30" s="1065">
        <f>IF(I23='0 Úvod'!$G$18+'0 Úvod'!$J$18-1,-1*'2 ZH'!$D$47,0)</f>
        <v>0</v>
      </c>
      <c r="J30" s="1065">
        <f>IF(J23='0 Úvod'!$G$18+'0 Úvod'!$J$18-1,-1*'2 ZH'!$D$47,0)</f>
        <v>0</v>
      </c>
      <c r="K30" s="1065">
        <f>IF(K23='0 Úvod'!$G$18+'0 Úvod'!$J$18-1,-1*'2 ZH'!$D$47,0)</f>
        <v>0</v>
      </c>
      <c r="L30" s="1065">
        <f>IF(L23='0 Úvod'!$G$18+'0 Úvod'!$J$18-1,-1*'2 ZH'!$D$47,0)</f>
        <v>0</v>
      </c>
      <c r="M30" s="1065">
        <f>IF(M23='0 Úvod'!$G$18+'0 Úvod'!$J$18-1,-1*'2 ZH'!$D$47,0)</f>
        <v>0</v>
      </c>
      <c r="N30" s="1065">
        <f>IF(N23='0 Úvod'!$G$18+'0 Úvod'!$J$18-1,-1*'2 ZH'!$D$47,0)</f>
        <v>0</v>
      </c>
      <c r="O30" s="1065">
        <f>IF(O23='0 Úvod'!$G$18+'0 Úvod'!$J$18-1,-1*'2 ZH'!$D$47,0)</f>
        <v>0</v>
      </c>
      <c r="P30" s="1065">
        <f>IF(P23='0 Úvod'!$G$18+'0 Úvod'!$J$18-1,-1*'2 ZH'!$D$47,0)</f>
        <v>0</v>
      </c>
      <c r="Q30" s="1065">
        <f>IF(Q23='0 Úvod'!$G$18+'0 Úvod'!$J$18-1,-1*'2 ZH'!$D$47,0)</f>
        <v>0</v>
      </c>
      <c r="R30" s="1065">
        <f>IF(R23='0 Úvod'!$G$18+'0 Úvod'!$J$18-1,-1*'2 ZH'!$D$47,0)</f>
        <v>0</v>
      </c>
      <c r="S30" s="1066">
        <f>IF(S23='0 Úvod'!$G$18+'0 Úvod'!$J$18-1,-1*'2 ZH'!$D$47,0)</f>
        <v>0</v>
      </c>
      <c r="T30" s="299"/>
      <c r="U30" s="299"/>
      <c r="V30" s="299"/>
      <c r="W30" s="299"/>
      <c r="X30" s="299"/>
      <c r="Y30" s="299"/>
      <c r="Z30" s="299"/>
      <c r="AA30" s="299"/>
      <c r="AB30" s="299"/>
      <c r="AC30" s="299"/>
    </row>
    <row r="31" spans="1:29" ht="15" thickBot="1" x14ac:dyDescent="0.35">
      <c r="B31" s="1110"/>
      <c r="C31" s="1111" t="str">
        <f t="shared" si="10"/>
        <v>Celkové náklady</v>
      </c>
      <c r="D31" s="1112"/>
      <c r="E31" s="1068">
        <f>SUM(E27:E30)</f>
        <v>0</v>
      </c>
      <c r="F31" s="1069">
        <f t="shared" ref="F31:S31" si="12">SUM(F27:F30)</f>
        <v>0</v>
      </c>
      <c r="G31" s="1069">
        <f t="shared" si="12"/>
        <v>0</v>
      </c>
      <c r="H31" s="1069">
        <f t="shared" si="12"/>
        <v>0</v>
      </c>
      <c r="I31" s="1069">
        <f t="shared" si="12"/>
        <v>0</v>
      </c>
      <c r="J31" s="1069">
        <f t="shared" si="12"/>
        <v>0</v>
      </c>
      <c r="K31" s="1069">
        <f t="shared" si="12"/>
        <v>0</v>
      </c>
      <c r="L31" s="1069">
        <f t="shared" si="12"/>
        <v>0</v>
      </c>
      <c r="M31" s="1069">
        <f t="shared" si="12"/>
        <v>0</v>
      </c>
      <c r="N31" s="1069">
        <f t="shared" si="12"/>
        <v>0</v>
      </c>
      <c r="O31" s="1069">
        <f t="shared" si="12"/>
        <v>0</v>
      </c>
      <c r="P31" s="1069">
        <f t="shared" si="12"/>
        <v>0</v>
      </c>
      <c r="Q31" s="1069">
        <f t="shared" si="12"/>
        <v>0</v>
      </c>
      <c r="R31" s="1069">
        <f t="shared" si="12"/>
        <v>0</v>
      </c>
      <c r="S31" s="1070">
        <f t="shared" si="12"/>
        <v>0</v>
      </c>
      <c r="T31" s="300"/>
      <c r="U31" s="300"/>
      <c r="V31" s="300"/>
      <c r="W31" s="300"/>
      <c r="X31" s="300"/>
      <c r="Y31" s="300"/>
      <c r="Z31" s="300"/>
      <c r="AA31" s="300"/>
      <c r="AB31" s="300"/>
      <c r="AC31" s="300"/>
    </row>
    <row r="32" spans="1:29" ht="14.25" x14ac:dyDescent="0.3">
      <c r="B32" s="1071"/>
      <c r="C32" s="1113" t="str">
        <f t="shared" si="10"/>
        <v>Čisté cash-flow</v>
      </c>
      <c r="D32" s="1114"/>
      <c r="E32" s="1115">
        <f t="shared" ref="E32:S32" si="13">E26-E31</f>
        <v>0</v>
      </c>
      <c r="F32" s="1115">
        <f t="shared" si="13"/>
        <v>0</v>
      </c>
      <c r="G32" s="1115">
        <f t="shared" si="13"/>
        <v>0</v>
      </c>
      <c r="H32" s="1115">
        <f t="shared" si="13"/>
        <v>0</v>
      </c>
      <c r="I32" s="1115">
        <f t="shared" si="13"/>
        <v>0</v>
      </c>
      <c r="J32" s="1115">
        <f t="shared" si="13"/>
        <v>0</v>
      </c>
      <c r="K32" s="1115">
        <f t="shared" si="13"/>
        <v>0</v>
      </c>
      <c r="L32" s="1115">
        <f t="shared" si="13"/>
        <v>0</v>
      </c>
      <c r="M32" s="1115">
        <f t="shared" si="13"/>
        <v>0</v>
      </c>
      <c r="N32" s="1115">
        <f t="shared" si="13"/>
        <v>0</v>
      </c>
      <c r="O32" s="1115">
        <f t="shared" si="13"/>
        <v>0</v>
      </c>
      <c r="P32" s="1115">
        <f t="shared" si="13"/>
        <v>0</v>
      </c>
      <c r="Q32" s="1115">
        <f t="shared" si="13"/>
        <v>0</v>
      </c>
      <c r="R32" s="1115">
        <f t="shared" si="13"/>
        <v>0</v>
      </c>
      <c r="S32" s="1116">
        <f t="shared" si="13"/>
        <v>0</v>
      </c>
      <c r="T32" s="305"/>
      <c r="U32" s="305"/>
      <c r="V32" s="305"/>
      <c r="W32" s="305"/>
      <c r="X32" s="305"/>
      <c r="Y32" s="305"/>
      <c r="Z32" s="305"/>
      <c r="AA32" s="305"/>
      <c r="AB32" s="305"/>
      <c r="AC32" s="300"/>
    </row>
    <row r="33" spans="2:29" ht="14.25" x14ac:dyDescent="0.3">
      <c r="B33" s="1076"/>
      <c r="C33" s="1117" t="s">
        <v>1387</v>
      </c>
      <c r="D33" s="1118"/>
      <c r="E33" s="1064"/>
      <c r="F33" s="1065"/>
      <c r="G33" s="1065"/>
      <c r="H33" s="1065"/>
      <c r="I33" s="1065"/>
      <c r="J33" s="1065"/>
      <c r="K33" s="1065"/>
      <c r="L33" s="1065"/>
      <c r="M33" s="1065"/>
      <c r="N33" s="1065"/>
      <c r="O33" s="1065"/>
      <c r="P33" s="1065"/>
      <c r="Q33" s="1065"/>
      <c r="R33" s="1065"/>
      <c r="S33" s="1066"/>
      <c r="T33" s="305"/>
      <c r="U33" s="305"/>
      <c r="V33" s="305"/>
      <c r="W33" s="305"/>
      <c r="X33" s="305"/>
      <c r="Y33" s="305"/>
      <c r="Z33" s="305"/>
      <c r="AA33" s="305"/>
      <c r="AB33" s="305"/>
      <c r="AC33" s="300"/>
    </row>
    <row r="34" spans="2:29" ht="14.25" x14ac:dyDescent="0.3">
      <c r="B34" s="1080"/>
      <c r="C34" s="1084" t="s">
        <v>1388</v>
      </c>
      <c r="D34" s="1119"/>
      <c r="E34" s="1083">
        <f>E33+E32</f>
        <v>0</v>
      </c>
      <c r="F34" s="1084">
        <f t="shared" ref="F34" si="14">F33+F32</f>
        <v>0</v>
      </c>
      <c r="G34" s="1084">
        <f t="shared" ref="G34" si="15">G33+G32</f>
        <v>0</v>
      </c>
      <c r="H34" s="1084">
        <f t="shared" ref="H34" si="16">H33+H32</f>
        <v>0</v>
      </c>
      <c r="I34" s="1084">
        <f t="shared" ref="I34" si="17">I33+I32</f>
        <v>0</v>
      </c>
      <c r="J34" s="1084">
        <f t="shared" ref="J34" si="18">J33+J32</f>
        <v>0</v>
      </c>
      <c r="K34" s="1084">
        <f t="shared" ref="K34" si="19">K33+K32</f>
        <v>0</v>
      </c>
      <c r="L34" s="1084">
        <f t="shared" ref="L34" si="20">L33+L32</f>
        <v>0</v>
      </c>
      <c r="M34" s="1084">
        <f t="shared" ref="M34" si="21">M33+M32</f>
        <v>0</v>
      </c>
      <c r="N34" s="1084">
        <f t="shared" ref="N34" si="22">N33+N32</f>
        <v>0</v>
      </c>
      <c r="O34" s="1084">
        <f t="shared" ref="O34" si="23">O33+O32</f>
        <v>0</v>
      </c>
      <c r="P34" s="1084">
        <f t="shared" ref="P34" si="24">P33+P32</f>
        <v>0</v>
      </c>
      <c r="Q34" s="1084">
        <f t="shared" ref="Q34" si="25">Q33+Q32</f>
        <v>0</v>
      </c>
      <c r="R34" s="1084">
        <f t="shared" ref="R34" si="26">R33+R32</f>
        <v>0</v>
      </c>
      <c r="S34" s="1085">
        <f t="shared" ref="S34" si="27">S33+S32</f>
        <v>0</v>
      </c>
      <c r="T34" s="305"/>
      <c r="U34" s="305"/>
      <c r="V34" s="305"/>
      <c r="W34" s="305"/>
      <c r="X34" s="305"/>
      <c r="Y34" s="305"/>
      <c r="Z34" s="305"/>
      <c r="AA34" s="305"/>
      <c r="AB34" s="305"/>
      <c r="AC34" s="300"/>
    </row>
    <row r="35" spans="2:29" ht="14.25" x14ac:dyDescent="0.3">
      <c r="B35" s="1076"/>
      <c r="C35" s="1120" t="s">
        <v>1389</v>
      </c>
      <c r="D35" s="1121"/>
      <c r="E35" s="1143"/>
      <c r="F35" s="1144"/>
      <c r="G35" s="1144"/>
      <c r="H35" s="1144"/>
      <c r="I35" s="1144"/>
      <c r="J35" s="1144"/>
      <c r="K35" s="1144"/>
      <c r="L35" s="1144"/>
      <c r="M35" s="1144"/>
      <c r="N35" s="1144"/>
      <c r="O35" s="1144"/>
      <c r="P35" s="1144"/>
      <c r="Q35" s="1144"/>
      <c r="R35" s="1144"/>
      <c r="S35" s="1145"/>
      <c r="T35" s="305"/>
      <c r="U35" s="305"/>
      <c r="V35" s="305"/>
      <c r="W35" s="305"/>
      <c r="X35" s="305"/>
      <c r="Y35" s="305"/>
      <c r="Z35" s="305"/>
      <c r="AA35" s="305"/>
      <c r="AB35" s="305"/>
      <c r="AC35" s="300"/>
    </row>
    <row r="36" spans="2:29" ht="14.25" x14ac:dyDescent="0.3">
      <c r="B36" s="1076"/>
      <c r="C36" s="1120" t="s">
        <v>1390</v>
      </c>
      <c r="D36" s="1121"/>
      <c r="E36" s="1143"/>
      <c r="F36" s="1144"/>
      <c r="G36" s="1144"/>
      <c r="H36" s="1144"/>
      <c r="I36" s="1144"/>
      <c r="J36" s="1144"/>
      <c r="K36" s="1144"/>
      <c r="L36" s="1144"/>
      <c r="M36" s="1144"/>
      <c r="N36" s="1144"/>
      <c r="O36" s="1144"/>
      <c r="P36" s="1144"/>
      <c r="Q36" s="1144"/>
      <c r="R36" s="1144"/>
      <c r="S36" s="1145"/>
      <c r="T36" s="305"/>
      <c r="U36" s="305"/>
      <c r="V36" s="305"/>
      <c r="W36" s="305"/>
      <c r="X36" s="305"/>
      <c r="Y36" s="305"/>
      <c r="Z36" s="305"/>
      <c r="AA36" s="305"/>
      <c r="AB36" s="305"/>
      <c r="AC36" s="300"/>
    </row>
    <row r="37" spans="2:29" ht="14.25" x14ac:dyDescent="0.3">
      <c r="B37" s="1076"/>
      <c r="C37" s="1144" t="str">
        <f>C16</f>
        <v xml:space="preserve">Ostatní zdroje financování (specifikujte) </v>
      </c>
      <c r="D37" s="1121"/>
      <c r="E37" s="1143"/>
      <c r="F37" s="1144"/>
      <c r="G37" s="1144"/>
      <c r="H37" s="1144"/>
      <c r="I37" s="1144"/>
      <c r="J37" s="1144"/>
      <c r="K37" s="1144"/>
      <c r="L37" s="1144"/>
      <c r="M37" s="1144"/>
      <c r="N37" s="1144"/>
      <c r="O37" s="1144"/>
      <c r="P37" s="1144"/>
      <c r="Q37" s="1144"/>
      <c r="R37" s="1144"/>
      <c r="S37" s="1145"/>
      <c r="T37" s="305"/>
      <c r="U37" s="305"/>
      <c r="V37" s="305"/>
      <c r="W37" s="305"/>
      <c r="X37" s="305"/>
      <c r="Y37" s="305"/>
      <c r="Z37" s="305"/>
      <c r="AA37" s="305"/>
      <c r="AB37" s="305"/>
      <c r="AC37" s="300"/>
    </row>
    <row r="38" spans="2:29" ht="15" thickBot="1" x14ac:dyDescent="0.35">
      <c r="B38" s="1076"/>
      <c r="C38" s="1120" t="s">
        <v>1392</v>
      </c>
      <c r="D38" s="1121"/>
      <c r="E38" s="1143"/>
      <c r="F38" s="1144"/>
      <c r="G38" s="1144"/>
      <c r="H38" s="1144"/>
      <c r="I38" s="1144"/>
      <c r="J38" s="1144"/>
      <c r="K38" s="1144"/>
      <c r="L38" s="1144"/>
      <c r="M38" s="1144"/>
      <c r="N38" s="1144"/>
      <c r="O38" s="1144"/>
      <c r="P38" s="1144"/>
      <c r="Q38" s="1144"/>
      <c r="R38" s="1144"/>
      <c r="S38" s="1145"/>
      <c r="T38" s="305"/>
      <c r="U38" s="305"/>
      <c r="V38" s="305"/>
      <c r="W38" s="305"/>
      <c r="X38" s="305"/>
      <c r="Y38" s="305"/>
      <c r="Z38" s="305"/>
      <c r="AA38" s="305"/>
      <c r="AB38" s="305"/>
      <c r="AC38" s="300"/>
    </row>
    <row r="39" spans="2:29" ht="14.25" x14ac:dyDescent="0.3">
      <c r="B39" s="1088"/>
      <c r="C39" s="1122" t="s">
        <v>1144</v>
      </c>
      <c r="D39" s="1123"/>
      <c r="E39" s="1052">
        <f>E33+E35-E36+E37+E38</f>
        <v>0</v>
      </c>
      <c r="F39" s="1052">
        <f t="shared" ref="F39:S39" si="28">F33+F35-F36+F37+F38</f>
        <v>0</v>
      </c>
      <c r="G39" s="1052">
        <f t="shared" si="28"/>
        <v>0</v>
      </c>
      <c r="H39" s="1052">
        <f t="shared" si="28"/>
        <v>0</v>
      </c>
      <c r="I39" s="1052">
        <f t="shared" si="28"/>
        <v>0</v>
      </c>
      <c r="J39" s="1052">
        <f t="shared" si="28"/>
        <v>0</v>
      </c>
      <c r="K39" s="1052">
        <f t="shared" si="28"/>
        <v>0</v>
      </c>
      <c r="L39" s="1052">
        <f t="shared" si="28"/>
        <v>0</v>
      </c>
      <c r="M39" s="1052">
        <f t="shared" si="28"/>
        <v>0</v>
      </c>
      <c r="N39" s="1052">
        <f t="shared" si="28"/>
        <v>0</v>
      </c>
      <c r="O39" s="1052">
        <f t="shared" si="28"/>
        <v>0</v>
      </c>
      <c r="P39" s="1052">
        <f t="shared" si="28"/>
        <v>0</v>
      </c>
      <c r="Q39" s="1052">
        <f t="shared" si="28"/>
        <v>0</v>
      </c>
      <c r="R39" s="1052">
        <f t="shared" si="28"/>
        <v>0</v>
      </c>
      <c r="S39" s="1052">
        <f t="shared" si="28"/>
        <v>0</v>
      </c>
      <c r="T39" s="305"/>
      <c r="U39" s="305"/>
      <c r="V39" s="305"/>
      <c r="W39" s="305"/>
      <c r="X39" s="305"/>
      <c r="Y39" s="305"/>
      <c r="Z39" s="305"/>
      <c r="AA39" s="305"/>
      <c r="AB39" s="305"/>
      <c r="AC39" s="300"/>
    </row>
    <row r="40" spans="2:29" ht="14.25" x14ac:dyDescent="0.3">
      <c r="B40" s="1076"/>
      <c r="C40" s="1120" t="s">
        <v>1393</v>
      </c>
      <c r="D40" s="1121"/>
      <c r="E40" s="1065">
        <f>E39+E32</f>
        <v>0</v>
      </c>
      <c r="F40" s="1065">
        <f t="shared" ref="F40" si="29">F39+F32</f>
        <v>0</v>
      </c>
      <c r="G40" s="1065">
        <f t="shared" ref="G40" si="30">G39+G32</f>
        <v>0</v>
      </c>
      <c r="H40" s="1065">
        <f t="shared" ref="H40" si="31">H39+H32</f>
        <v>0</v>
      </c>
      <c r="I40" s="1065">
        <f t="shared" ref="I40" si="32">I39+I32</f>
        <v>0</v>
      </c>
      <c r="J40" s="1065">
        <f t="shared" ref="J40" si="33">J39+J32</f>
        <v>0</v>
      </c>
      <c r="K40" s="1065">
        <f t="shared" ref="K40" si="34">K39+K32</f>
        <v>0</v>
      </c>
      <c r="L40" s="1065">
        <f t="shared" ref="L40" si="35">L39+L32</f>
        <v>0</v>
      </c>
      <c r="M40" s="1065">
        <f t="shared" ref="M40" si="36">M39+M32</f>
        <v>0</v>
      </c>
      <c r="N40" s="1065">
        <f t="shared" ref="N40" si="37">N39+N32</f>
        <v>0</v>
      </c>
      <c r="O40" s="1065">
        <f t="shared" ref="O40" si="38">O39+O32</f>
        <v>0</v>
      </c>
      <c r="P40" s="1065">
        <f t="shared" ref="P40" si="39">P39+P32</f>
        <v>0</v>
      </c>
      <c r="Q40" s="1065">
        <f t="shared" ref="Q40" si="40">Q39+Q32</f>
        <v>0</v>
      </c>
      <c r="R40" s="1065">
        <f t="shared" ref="R40" si="41">R39+R32</f>
        <v>0</v>
      </c>
      <c r="S40" s="1066">
        <f t="shared" ref="S40" si="42">S39+S32</f>
        <v>0</v>
      </c>
      <c r="T40" s="305"/>
      <c r="U40" s="305"/>
      <c r="V40" s="305"/>
      <c r="W40" s="305"/>
      <c r="X40" s="305"/>
      <c r="Y40" s="305"/>
      <c r="Z40" s="305"/>
      <c r="AA40" s="305"/>
      <c r="AB40" s="305"/>
      <c r="AC40" s="300"/>
    </row>
    <row r="41" spans="2:29" ht="15" thickBot="1" x14ac:dyDescent="0.35">
      <c r="B41" s="1091"/>
      <c r="C41" s="1124" t="s">
        <v>1394</v>
      </c>
      <c r="D41" s="1125"/>
      <c r="E41" s="1094">
        <f>E40+S20</f>
        <v>0</v>
      </c>
      <c r="F41" s="1094">
        <f>E41+F40</f>
        <v>0</v>
      </c>
      <c r="G41" s="1094">
        <f t="shared" ref="G41" si="43">F41+G40</f>
        <v>0</v>
      </c>
      <c r="H41" s="1094">
        <f t="shared" ref="H41" si="44">G41+H40</f>
        <v>0</v>
      </c>
      <c r="I41" s="1094">
        <f t="shared" ref="I41" si="45">H41+I40</f>
        <v>0</v>
      </c>
      <c r="J41" s="1094">
        <f t="shared" ref="J41" si="46">I41+J40</f>
        <v>0</v>
      </c>
      <c r="K41" s="1094">
        <f t="shared" ref="K41" si="47">J41+K40</f>
        <v>0</v>
      </c>
      <c r="L41" s="1094">
        <f t="shared" ref="L41" si="48">K41+L40</f>
        <v>0</v>
      </c>
      <c r="M41" s="1094">
        <f t="shared" ref="M41" si="49">L41+M40</f>
        <v>0</v>
      </c>
      <c r="N41" s="1094">
        <f t="shared" ref="N41" si="50">M41+N40</f>
        <v>0</v>
      </c>
      <c r="O41" s="1094">
        <f t="shared" ref="O41" si="51">N41+O40</f>
        <v>0</v>
      </c>
      <c r="P41" s="1094">
        <f t="shared" ref="P41" si="52">O41+P40</f>
        <v>0</v>
      </c>
      <c r="Q41" s="1094">
        <f t="shared" ref="Q41" si="53">P41+Q40</f>
        <v>0</v>
      </c>
      <c r="R41" s="1094">
        <f t="shared" ref="R41" si="54">Q41+R40</f>
        <v>0</v>
      </c>
      <c r="S41" s="1095">
        <f t="shared" ref="S41" si="55">R41+S40</f>
        <v>0</v>
      </c>
      <c r="T41" s="305"/>
      <c r="U41" s="305"/>
      <c r="V41" s="305"/>
      <c r="W41" s="305"/>
      <c r="X41" s="305"/>
      <c r="Y41" s="305"/>
      <c r="Z41" s="305"/>
      <c r="AA41" s="305"/>
      <c r="AB41" s="305"/>
      <c r="AC41" s="300"/>
    </row>
    <row r="42" spans="2:29" ht="14.25" hidden="1" x14ac:dyDescent="0.3">
      <c r="B42" s="585"/>
      <c r="C42" s="585" t="s">
        <v>1395</v>
      </c>
      <c r="D42" s="1096"/>
      <c r="E42" s="1097">
        <f>IF(E41&gt;=0,0,999)</f>
        <v>0</v>
      </c>
      <c r="F42" s="1097">
        <f t="shared" ref="F42" si="56">IF(F41&gt;=0,0,999)</f>
        <v>0</v>
      </c>
      <c r="G42" s="1097">
        <f t="shared" ref="G42" si="57">IF(G41&gt;=0,0,999)</f>
        <v>0</v>
      </c>
      <c r="H42" s="1097">
        <f t="shared" ref="H42" si="58">IF(H41&gt;=0,0,999)</f>
        <v>0</v>
      </c>
      <c r="I42" s="1097">
        <f t="shared" ref="I42" si="59">IF(I41&gt;=0,0,999)</f>
        <v>0</v>
      </c>
      <c r="J42" s="1097">
        <f t="shared" ref="J42" si="60">IF(J41&gt;=0,0,999)</f>
        <v>0</v>
      </c>
      <c r="K42" s="1097">
        <f t="shared" ref="K42" si="61">IF(K41&gt;=0,0,999)</f>
        <v>0</v>
      </c>
      <c r="L42" s="1097">
        <f t="shared" ref="L42" si="62">IF(L41&gt;=0,0,999)</f>
        <v>0</v>
      </c>
      <c r="M42" s="1097">
        <f t="shared" ref="M42" si="63">IF(M41&gt;=0,0,999)</f>
        <v>0</v>
      </c>
      <c r="N42" s="1097">
        <f t="shared" ref="N42" si="64">IF(N41&gt;=0,0,999)</f>
        <v>0</v>
      </c>
      <c r="O42" s="1097">
        <f t="shared" ref="O42" si="65">IF(O41&gt;=0,0,999)</f>
        <v>0</v>
      </c>
      <c r="P42" s="1097">
        <f t="shared" ref="P42" si="66">IF(P41&gt;=0,0,999)</f>
        <v>0</v>
      </c>
      <c r="Q42" s="1097">
        <f t="shared" ref="Q42" si="67">IF(Q41&gt;=0,0,999)</f>
        <v>0</v>
      </c>
      <c r="R42" s="1097">
        <f t="shared" ref="R42" si="68">IF(R41&gt;=0,0,999)</f>
        <v>0</v>
      </c>
      <c r="S42" s="1097">
        <f t="shared" ref="S42" si="69">IF(S41&gt;=0,0,999)</f>
        <v>0</v>
      </c>
      <c r="T42" s="306"/>
      <c r="U42" s="306"/>
      <c r="V42" s="306"/>
      <c r="W42" s="306"/>
      <c r="X42" s="306"/>
      <c r="Y42" s="306"/>
      <c r="Z42" s="306"/>
      <c r="AA42" s="306"/>
      <c r="AB42" s="306"/>
      <c r="AC42" s="302"/>
    </row>
    <row r="43" spans="2:29" ht="14.25" thickBot="1" x14ac:dyDescent="0.35">
      <c r="B43" s="1126"/>
      <c r="C43" s="1126"/>
      <c r="D43" s="1126"/>
      <c r="E43" s="1127">
        <f>IF(E23&gt;='0 Úvod'!$D$20,E25-E27-E28,0)</f>
        <v>0</v>
      </c>
      <c r="F43" s="1127">
        <f>IF(F23&gt;='0 Úvod'!$D$20,F25-F27-F28,0)</f>
        <v>0</v>
      </c>
      <c r="G43" s="1127">
        <f>IF(G23&gt;='0 Úvod'!$D$20,G25-G27-G28,0)</f>
        <v>0</v>
      </c>
      <c r="H43" s="1127">
        <f>IF(H23&gt;='0 Úvod'!$D$20,H25-H27-H28,0)</f>
        <v>0</v>
      </c>
      <c r="I43" s="1127">
        <f>IF(I23&gt;='0 Úvod'!$D$20,I25-I27-I28,0)</f>
        <v>0</v>
      </c>
      <c r="J43" s="1127">
        <f>IF(J23&gt;='0 Úvod'!$D$20,J25-J27-J28,0)</f>
        <v>0</v>
      </c>
      <c r="K43" s="1127">
        <f>IF(K23&gt;='0 Úvod'!$D$20,K25-K27-K28,0)</f>
        <v>0</v>
      </c>
      <c r="L43" s="1127">
        <f>IF(L23&gt;='0 Úvod'!$D$20,L25-L27-L28,0)</f>
        <v>0</v>
      </c>
      <c r="M43" s="1127">
        <f>IF(M23&gt;='0 Úvod'!$D$20,M25-M27-M28,0)</f>
        <v>0</v>
      </c>
      <c r="N43" s="1127">
        <f>IF(N23&gt;='0 Úvod'!$D$20,N25-N27-N28,0)</f>
        <v>0</v>
      </c>
      <c r="O43" s="1127">
        <f>IF(O23&gt;='0 Úvod'!$D$20,O25-O27-O28,0)</f>
        <v>0</v>
      </c>
      <c r="P43" s="1127">
        <f>IF(P23&gt;='0 Úvod'!$D$20,P25-P27-P28,0)</f>
        <v>0</v>
      </c>
      <c r="Q43" s="1127">
        <f>IF(Q23&gt;='0 Úvod'!$D$20,Q25-Q27-Q28,0)</f>
        <v>0</v>
      </c>
      <c r="R43" s="1127">
        <f>IF(R23&gt;='0 Úvod'!$D$20,R25-R27-R28,0)</f>
        <v>0</v>
      </c>
      <c r="S43" s="1127">
        <f>IF(S23&gt;='0 Úvod'!$D$20,S25-S27-S28,0)</f>
        <v>0</v>
      </c>
    </row>
    <row r="44" spans="2:29" ht="15" thickBot="1" x14ac:dyDescent="0.35">
      <c r="B44" s="1994" t="s">
        <v>1519</v>
      </c>
      <c r="C44" s="1995"/>
      <c r="D44" s="1995"/>
      <c r="E44" s="1128">
        <f>IF('0 Úvod'!G20="nová výstavba",0.85,IF('0 Úvod'!G20="modernizace",0.95*0.85,0))</f>
        <v>0.85</v>
      </c>
      <c r="F44" s="1129"/>
      <c r="G44" s="1130" t="str">
        <f>IF(E44=0,"Zvol typ projektu na záložce 0 Úvod.","")</f>
        <v/>
      </c>
      <c r="H44" s="1129"/>
      <c r="I44" s="1129"/>
      <c r="J44" s="1129"/>
      <c r="K44" s="1129"/>
      <c r="L44" s="1129"/>
      <c r="M44" s="1129"/>
      <c r="N44" s="1129"/>
      <c r="O44" s="1129"/>
      <c r="P44" s="1129"/>
      <c r="Q44" s="1129"/>
      <c r="R44" s="1129"/>
      <c r="S44" s="1129"/>
    </row>
    <row r="45" spans="2:29" ht="14.25" thickBot="1" x14ac:dyDescent="0.35">
      <c r="B45" s="585"/>
      <c r="C45" s="585"/>
      <c r="D45" s="585"/>
      <c r="E45" s="1129"/>
      <c r="F45" s="1129"/>
      <c r="G45" s="1129"/>
      <c r="H45" s="1129"/>
      <c r="I45" s="1129"/>
      <c r="J45" s="1129"/>
      <c r="K45" s="1129"/>
      <c r="L45" s="1129"/>
      <c r="M45" s="1129"/>
      <c r="N45" s="1129"/>
      <c r="O45" s="1129"/>
      <c r="P45" s="1129"/>
      <c r="Q45" s="1129"/>
      <c r="R45" s="1129"/>
      <c r="S45" s="1129"/>
    </row>
    <row r="46" spans="2:29" s="277" customFormat="1" x14ac:dyDescent="0.25">
      <c r="B46" s="1980" t="str">
        <f>IF('0 Úvod'!$M$10="English",Slovnik!D445,Slovnik!C445)</f>
        <v>Finanční vnitřní výnosové procento investice FRR/C</v>
      </c>
      <c r="C46" s="1981"/>
      <c r="D46" s="1981"/>
      <c r="E46" s="1131" t="str">
        <f>IFERROR(ROUND(IRR((E11:S11,E32:S32)),4),"n.a.")</f>
        <v>n.a.</v>
      </c>
      <c r="F46" s="1132"/>
      <c r="G46" s="1133" t="str">
        <f>IF(E46="n.a.","",IF(E46&gt;'0 Úvod'!J20,"Projekt je samofinancovatelný.",""))</f>
        <v/>
      </c>
      <c r="H46" s="1132"/>
      <c r="I46" s="1132"/>
      <c r="J46" s="1132"/>
      <c r="K46" s="1132"/>
      <c r="L46" s="1132"/>
      <c r="M46" s="1132"/>
      <c r="N46" s="1132"/>
      <c r="O46" s="1132"/>
      <c r="P46" s="1132"/>
      <c r="Q46" s="1134"/>
      <c r="R46" s="1135"/>
      <c r="S46" s="1135"/>
    </row>
    <row r="47" spans="2:29" s="277" customFormat="1" ht="14.25" thickBot="1" x14ac:dyDescent="0.3">
      <c r="B47" s="1982" t="str">
        <f>IF('0 Úvod'!$M$10="English",Slovnik!D446,Slovnik!C446)</f>
        <v>Finanční čistá současná hodnota investice FNPV/C (CZK)</v>
      </c>
      <c r="C47" s="1983"/>
      <c r="D47" s="1983"/>
      <c r="E47" s="1136">
        <f>E11+NPV('0 Úvod'!J20,(F11:S11,E32:S32))</f>
        <v>0</v>
      </c>
      <c r="F47" s="1137"/>
      <c r="G47" s="1133"/>
      <c r="H47" s="1135"/>
      <c r="I47" s="1135"/>
      <c r="J47" s="1135"/>
      <c r="K47" s="1135"/>
      <c r="L47" s="1135"/>
      <c r="M47" s="1135"/>
      <c r="N47" s="1135"/>
      <c r="O47" s="1135"/>
      <c r="P47" s="1135"/>
      <c r="Q47" s="1135"/>
      <c r="R47" s="1135"/>
      <c r="S47" s="1135"/>
    </row>
    <row r="48" spans="2:29" ht="14.25" x14ac:dyDescent="0.3">
      <c r="B48" s="1980" t="s">
        <v>1396</v>
      </c>
      <c r="C48" s="1981"/>
      <c r="D48" s="1981"/>
      <c r="E48" s="1131" t="str">
        <f>IFERROR(ROUND(IRR((E13:S13,E34:S34)),4),"n.a.")</f>
        <v>n.a.</v>
      </c>
      <c r="F48" s="585"/>
      <c r="G48" s="1133" t="str">
        <f>IF(E48="n.a.","",IF(E48&gt;0.1,"Vysvětlete příjmy projektu včetně dopadů na vyrovnácí platby nebo jiné provozní dotace.",""))</f>
        <v/>
      </c>
      <c r="H48" s="585"/>
      <c r="I48" s="585"/>
      <c r="J48" s="1138"/>
      <c r="K48" s="585"/>
      <c r="L48" s="585"/>
      <c r="M48" s="585"/>
      <c r="N48" s="585"/>
      <c r="O48" s="585"/>
      <c r="P48" s="585"/>
      <c r="Q48" s="585"/>
      <c r="R48" s="585"/>
      <c r="S48" s="585"/>
    </row>
    <row r="49" spans="2:20" ht="15" thickBot="1" x14ac:dyDescent="0.35">
      <c r="B49" s="1982" t="s">
        <v>1397</v>
      </c>
      <c r="C49" s="1983"/>
      <c r="D49" s="1983"/>
      <c r="E49" s="1136">
        <f>E13+NPV('0 Úvod'!J20,(F13:S13,E34:S34))</f>
        <v>0</v>
      </c>
      <c r="F49" s="585"/>
      <c r="G49" s="1133"/>
      <c r="H49" s="585"/>
      <c r="I49" s="585"/>
      <c r="J49" s="1138"/>
      <c r="K49" s="585"/>
      <c r="L49" s="585"/>
      <c r="M49" s="585"/>
      <c r="N49" s="585"/>
      <c r="O49" s="585"/>
      <c r="P49" s="585"/>
      <c r="Q49" s="585"/>
      <c r="R49" s="585"/>
      <c r="S49" s="585"/>
    </row>
    <row r="50" spans="2:20" ht="15" thickBot="1" x14ac:dyDescent="0.35">
      <c r="B50" s="1139" t="s">
        <v>1398</v>
      </c>
      <c r="C50" s="1140"/>
      <c r="D50" s="1140"/>
      <c r="E50" s="1141" t="str">
        <f>IF(SUM(E21:S21,E42:S42)&gt;0,"NE","ANO")</f>
        <v>ANO</v>
      </c>
      <c r="F50" s="585"/>
      <c r="G50" s="1133" t="str">
        <f>IF(E50="NE","Doplňte zdroje financování.","")</f>
        <v/>
      </c>
      <c r="H50" s="585"/>
      <c r="I50" s="585"/>
      <c r="J50" s="1138"/>
      <c r="K50" s="585"/>
      <c r="L50" s="585"/>
      <c r="M50" s="585"/>
      <c r="N50" s="585"/>
      <c r="O50" s="585"/>
      <c r="P50" s="585"/>
      <c r="Q50" s="585"/>
      <c r="R50" s="585"/>
      <c r="S50" s="585"/>
    </row>
    <row r="51" spans="2:20" x14ac:dyDescent="0.3">
      <c r="D51" s="279"/>
    </row>
    <row r="52" spans="2:20" ht="14.25" thickBot="1" x14ac:dyDescent="0.35">
      <c r="D52" s="307"/>
    </row>
    <row r="53" spans="2:20" ht="14.25" customHeight="1" x14ac:dyDescent="0.3">
      <c r="B53" s="1984" t="str">
        <f>IF('0 Úvod'!$M$10="English",Slovnik!$D$613,Slovnik!$C$613)</f>
        <v>Komentáře</v>
      </c>
      <c r="C53" s="1985"/>
      <c r="D53" s="1985"/>
      <c r="E53" s="1985"/>
      <c r="F53" s="1985"/>
      <c r="G53" s="1985"/>
      <c r="H53" s="1985"/>
      <c r="I53" s="1985"/>
      <c r="J53" s="1985"/>
      <c r="K53" s="1985"/>
      <c r="L53" s="1985"/>
      <c r="M53" s="1985"/>
      <c r="N53" s="1985"/>
      <c r="O53" s="1985"/>
      <c r="P53" s="1985"/>
      <c r="Q53" s="1985"/>
      <c r="R53" s="1985"/>
      <c r="S53" s="1985"/>
      <c r="T53" s="425"/>
    </row>
    <row r="54" spans="2:20" ht="15" customHeight="1" thickBot="1" x14ac:dyDescent="0.35">
      <c r="B54" s="1986"/>
      <c r="C54" s="1987"/>
      <c r="D54" s="1987"/>
      <c r="E54" s="1987"/>
      <c r="F54" s="1987"/>
      <c r="G54" s="1987"/>
      <c r="H54" s="1987"/>
      <c r="I54" s="1987"/>
      <c r="J54" s="1987"/>
      <c r="K54" s="1987"/>
      <c r="L54" s="1987"/>
      <c r="M54" s="1987"/>
      <c r="N54" s="1987"/>
      <c r="O54" s="1987"/>
      <c r="P54" s="1987"/>
      <c r="Q54" s="1987"/>
      <c r="R54" s="1987"/>
      <c r="S54" s="1987"/>
      <c r="T54" s="425"/>
    </row>
    <row r="55" spans="2:20" ht="14.25" x14ac:dyDescent="0.3">
      <c r="B55" s="1988"/>
      <c r="C55" s="1989"/>
      <c r="D55" s="1989"/>
      <c r="E55" s="1989"/>
      <c r="F55" s="1989"/>
      <c r="G55" s="1989"/>
      <c r="H55" s="1989"/>
      <c r="I55" s="1989"/>
      <c r="J55" s="1989"/>
      <c r="K55" s="1989"/>
      <c r="L55" s="1989"/>
      <c r="M55" s="1989"/>
      <c r="N55" s="1989"/>
      <c r="O55" s="1989"/>
      <c r="P55" s="1989"/>
      <c r="Q55" s="1989"/>
      <c r="R55" s="1989"/>
      <c r="S55" s="1990"/>
      <c r="T55" s="426"/>
    </row>
    <row r="56" spans="2:20" ht="15" thickBot="1" x14ac:dyDescent="0.35">
      <c r="B56" s="1991"/>
      <c r="C56" s="1992"/>
      <c r="D56" s="1992"/>
      <c r="E56" s="1992"/>
      <c r="F56" s="1992"/>
      <c r="G56" s="1992"/>
      <c r="H56" s="1992"/>
      <c r="I56" s="1992"/>
      <c r="J56" s="1992"/>
      <c r="K56" s="1992"/>
      <c r="L56" s="1992"/>
      <c r="M56" s="1992"/>
      <c r="N56" s="1992"/>
      <c r="O56" s="1992"/>
      <c r="P56" s="1992"/>
      <c r="Q56" s="1992"/>
      <c r="R56" s="1992"/>
      <c r="S56" s="1993"/>
      <c r="T56" s="426"/>
    </row>
  </sheetData>
  <sheetProtection algorithmName="SHA-512" hashValue="mTRfK535rgJzrSA3dM2cgEBH043AMCgIYtWL1Wqe3zh+K+w0bibt7QmLFHFC2x22d8Rmye6fsEBvYaB6atSfOA==" saltValue="t937ef4Y4ial68AbOkYJSQ==" spinCount="100000" sheet="1" objects="1" scenarios="1"/>
  <mergeCells count="37">
    <mergeCell ref="E2:E3"/>
    <mergeCell ref="F2:F3"/>
    <mergeCell ref="G2:G3"/>
    <mergeCell ref="H2:H3"/>
    <mergeCell ref="E23:E24"/>
    <mergeCell ref="F23:F24"/>
    <mergeCell ref="G23:G24"/>
    <mergeCell ref="H23:H24"/>
    <mergeCell ref="B47:D47"/>
    <mergeCell ref="S23:S24"/>
    <mergeCell ref="J23:J24"/>
    <mergeCell ref="K23:K24"/>
    <mergeCell ref="Q23:Q24"/>
    <mergeCell ref="R23:R24"/>
    <mergeCell ref="N23:N24"/>
    <mergeCell ref="O23:O24"/>
    <mergeCell ref="P23:P24"/>
    <mergeCell ref="L23:L24"/>
    <mergeCell ref="M23:M24"/>
    <mergeCell ref="I23:I24"/>
    <mergeCell ref="B44:D44"/>
    <mergeCell ref="B48:D48"/>
    <mergeCell ref="B49:D49"/>
    <mergeCell ref="B53:S54"/>
    <mergeCell ref="B55:S56"/>
    <mergeCell ref="S2:S3"/>
    <mergeCell ref="I2:I3"/>
    <mergeCell ref="J2:J3"/>
    <mergeCell ref="K2:K3"/>
    <mergeCell ref="L2:L3"/>
    <mergeCell ref="N2:N3"/>
    <mergeCell ref="Q2:Q3"/>
    <mergeCell ref="R2:R3"/>
    <mergeCell ref="O2:O3"/>
    <mergeCell ref="P2:P3"/>
    <mergeCell ref="M2:M3"/>
    <mergeCell ref="B46:D46"/>
  </mergeCells>
  <phoneticPr fontId="3" type="noConversion"/>
  <pageMargins left="0.39370078740157483" right="0.15748031496062992" top="0.98425196850393704" bottom="0.78740157480314965" header="0.39370078740157483" footer="0.39370078740157483"/>
  <pageSetup paperSize="9" scale="53" fitToHeight="0" orientation="landscape" r:id="rId1"/>
  <headerFooter alignWithMargins="0">
    <oddFooter>&amp;L&amp;A&amp;C&amp;D</oddFooter>
  </headerFooter>
  <ignoredErrors>
    <ignoredError sqref="D5"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ist9">
    <pageSetUpPr fitToPage="1"/>
  </sheetPr>
  <dimension ref="B1:AF96"/>
  <sheetViews>
    <sheetView defaultGridColor="0" topLeftCell="A69" colorId="23" zoomScaleNormal="100" workbookViewId="0">
      <selection activeCell="I84" sqref="I84"/>
    </sheetView>
  </sheetViews>
  <sheetFormatPr defaultColWidth="9.140625" defaultRowHeight="13.5" x14ac:dyDescent="0.3"/>
  <cols>
    <col min="1" max="1" width="2.7109375" style="245" customWidth="1"/>
    <col min="2" max="2" width="8.85546875" style="245" customWidth="1"/>
    <col min="3" max="3" width="30.140625" style="245" customWidth="1"/>
    <col min="4" max="4" width="23.28515625" style="245" customWidth="1"/>
    <col min="5" max="5" width="13.7109375" style="245" customWidth="1"/>
    <col min="6" max="6" width="13.5703125" style="245" customWidth="1"/>
    <col min="7" max="7" width="13.85546875" style="245" customWidth="1"/>
    <col min="8" max="8" width="12" style="245" customWidth="1"/>
    <col min="9" max="9" width="12.28515625" style="245" bestFit="1" customWidth="1"/>
    <col min="10" max="10" width="12.28515625" style="245" customWidth="1"/>
    <col min="11" max="18" width="12.28515625" style="245" bestFit="1" customWidth="1"/>
    <col min="19" max="21" width="12.28515625" style="245" customWidth="1"/>
    <col min="22" max="22" width="12.28515625" style="263" customWidth="1"/>
    <col min="23" max="30" width="12.28515625" style="245" customWidth="1"/>
    <col min="31" max="31" width="7.140625" style="245" customWidth="1"/>
    <col min="32" max="32" width="23" style="245" customWidth="1"/>
    <col min="33" max="36" width="7.140625" style="245" customWidth="1"/>
    <col min="37" max="16384" width="9.140625" style="245"/>
  </cols>
  <sheetData>
    <row r="1" spans="2:32" ht="14.25" thickBot="1" x14ac:dyDescent="0.35">
      <c r="F1" s="236"/>
    </row>
    <row r="2" spans="2:32" ht="14.25" x14ac:dyDescent="0.3">
      <c r="B2" s="1146" t="s">
        <v>1437</v>
      </c>
      <c r="C2" s="1147" t="s">
        <v>1536</v>
      </c>
      <c r="D2" s="1147"/>
      <c r="E2" s="1148"/>
      <c r="F2" s="2018">
        <f>'0 Úvod'!G18</f>
        <v>2026</v>
      </c>
      <c r="G2" s="2020">
        <f t="shared" ref="G2:T2" si="0">F2+1</f>
        <v>2027</v>
      </c>
      <c r="H2" s="2020">
        <f t="shared" si="0"/>
        <v>2028</v>
      </c>
      <c r="I2" s="2020">
        <f t="shared" si="0"/>
        <v>2029</v>
      </c>
      <c r="J2" s="2020">
        <f t="shared" si="0"/>
        <v>2030</v>
      </c>
      <c r="K2" s="2020">
        <f t="shared" si="0"/>
        <v>2031</v>
      </c>
      <c r="L2" s="2020">
        <f t="shared" si="0"/>
        <v>2032</v>
      </c>
      <c r="M2" s="2020">
        <f t="shared" si="0"/>
        <v>2033</v>
      </c>
      <c r="N2" s="2020">
        <f t="shared" si="0"/>
        <v>2034</v>
      </c>
      <c r="O2" s="2020">
        <f t="shared" si="0"/>
        <v>2035</v>
      </c>
      <c r="P2" s="2020">
        <f t="shared" si="0"/>
        <v>2036</v>
      </c>
      <c r="Q2" s="2020">
        <f t="shared" si="0"/>
        <v>2037</v>
      </c>
      <c r="R2" s="2020">
        <f t="shared" si="0"/>
        <v>2038</v>
      </c>
      <c r="S2" s="2020">
        <f t="shared" si="0"/>
        <v>2039</v>
      </c>
      <c r="T2" s="2054">
        <f t="shared" si="0"/>
        <v>2040</v>
      </c>
      <c r="U2" s="247"/>
      <c r="V2" s="247"/>
      <c r="W2" s="247"/>
      <c r="X2" s="247"/>
      <c r="Y2" s="247"/>
      <c r="Z2" s="247"/>
      <c r="AA2" s="247"/>
      <c r="AB2" s="247"/>
      <c r="AC2" s="247"/>
      <c r="AD2" s="247"/>
      <c r="AF2" s="263"/>
    </row>
    <row r="3" spans="2:32" ht="15" thickBot="1" x14ac:dyDescent="0.35">
      <c r="B3" s="1149" t="s">
        <v>4</v>
      </c>
      <c r="C3" s="1150"/>
      <c r="D3" s="1151" t="s">
        <v>1409</v>
      </c>
      <c r="E3" s="1152" t="s">
        <v>60</v>
      </c>
      <c r="F3" s="2019"/>
      <c r="G3" s="2021"/>
      <c r="H3" s="2021"/>
      <c r="I3" s="2021"/>
      <c r="J3" s="2021"/>
      <c r="K3" s="2021"/>
      <c r="L3" s="2021"/>
      <c r="M3" s="2021"/>
      <c r="N3" s="2021"/>
      <c r="O3" s="2021"/>
      <c r="P3" s="2021"/>
      <c r="Q3" s="2021"/>
      <c r="R3" s="2021"/>
      <c r="S3" s="2021"/>
      <c r="T3" s="2055"/>
      <c r="U3" s="247"/>
      <c r="V3" s="247"/>
      <c r="W3" s="247"/>
      <c r="X3" s="247"/>
      <c r="Y3" s="247"/>
      <c r="Z3" s="247"/>
      <c r="AA3" s="247"/>
      <c r="AB3" s="247"/>
      <c r="AC3" s="247"/>
      <c r="AD3" s="247"/>
      <c r="AF3" s="263"/>
    </row>
    <row r="4" spans="2:32" ht="14.25" x14ac:dyDescent="0.3">
      <c r="B4" s="1153"/>
      <c r="C4" s="1332" t="s">
        <v>1372</v>
      </c>
      <c r="D4" s="1333"/>
      <c r="E4" s="1154">
        <f t="shared" ref="E4:E9" si="1">SUM(F4:T4,F13:T13)</f>
        <v>0</v>
      </c>
      <c r="F4" s="255"/>
      <c r="G4" s="255"/>
      <c r="H4" s="255"/>
      <c r="I4" s="255"/>
      <c r="J4" s="255"/>
      <c r="K4" s="255"/>
      <c r="L4" s="255"/>
      <c r="M4" s="255"/>
      <c r="N4" s="255"/>
      <c r="O4" s="255"/>
      <c r="P4" s="255"/>
      <c r="Q4" s="255"/>
      <c r="R4" s="255"/>
      <c r="S4" s="255"/>
      <c r="T4" s="255"/>
      <c r="U4" s="477"/>
      <c r="V4" s="236"/>
      <c r="W4" s="236"/>
      <c r="X4" s="236"/>
      <c r="Y4" s="236"/>
      <c r="Z4" s="236"/>
      <c r="AA4" s="236"/>
      <c r="AB4" s="236"/>
      <c r="AC4" s="236"/>
      <c r="AD4" s="236"/>
      <c r="AF4" s="263"/>
    </row>
    <row r="5" spans="2:32" ht="14.25" x14ac:dyDescent="0.3">
      <c r="B5" s="1155"/>
      <c r="C5" s="1332" t="s">
        <v>1372</v>
      </c>
      <c r="D5" s="1334"/>
      <c r="E5" s="1156">
        <f t="shared" si="1"/>
        <v>0</v>
      </c>
      <c r="F5" s="255"/>
      <c r="G5" s="255"/>
      <c r="H5" s="255"/>
      <c r="I5" s="255"/>
      <c r="J5" s="255"/>
      <c r="K5" s="255"/>
      <c r="L5" s="255"/>
      <c r="M5" s="255"/>
      <c r="N5" s="255"/>
      <c r="O5" s="255"/>
      <c r="P5" s="255"/>
      <c r="Q5" s="255"/>
      <c r="R5" s="255"/>
      <c r="S5" s="255"/>
      <c r="T5" s="255"/>
      <c r="U5" s="477"/>
      <c r="V5" s="236"/>
      <c r="W5" s="236"/>
      <c r="X5" s="236"/>
      <c r="Y5" s="236"/>
      <c r="Z5" s="236"/>
      <c r="AA5" s="236"/>
      <c r="AB5" s="236"/>
      <c r="AC5" s="236"/>
      <c r="AD5" s="236"/>
      <c r="AF5" s="263"/>
    </row>
    <row r="6" spans="2:32" ht="14.25" x14ac:dyDescent="0.3">
      <c r="B6" s="1155"/>
      <c r="C6" s="1332" t="s">
        <v>1372</v>
      </c>
      <c r="D6" s="1334"/>
      <c r="E6" s="1156">
        <f t="shared" si="1"/>
        <v>0</v>
      </c>
      <c r="F6" s="255"/>
      <c r="G6" s="255"/>
      <c r="H6" s="255"/>
      <c r="I6" s="255"/>
      <c r="J6" s="255"/>
      <c r="K6" s="255"/>
      <c r="L6" s="255"/>
      <c r="M6" s="255"/>
      <c r="N6" s="255"/>
      <c r="O6" s="255"/>
      <c r="P6" s="255"/>
      <c r="Q6" s="255"/>
      <c r="R6" s="255"/>
      <c r="S6" s="255"/>
      <c r="T6" s="255"/>
      <c r="U6" s="477"/>
      <c r="V6" s="236"/>
      <c r="W6" s="236"/>
      <c r="X6" s="236"/>
      <c r="Y6" s="236"/>
      <c r="Z6" s="236"/>
      <c r="AA6" s="236"/>
      <c r="AB6" s="236"/>
      <c r="AC6" s="236"/>
      <c r="AD6" s="236"/>
      <c r="AF6" s="263"/>
    </row>
    <row r="7" spans="2:32" ht="14.25" x14ac:dyDescent="0.3">
      <c r="B7" s="1155"/>
      <c r="C7" s="1332" t="s">
        <v>1372</v>
      </c>
      <c r="D7" s="1334"/>
      <c r="E7" s="1156">
        <f t="shared" si="1"/>
        <v>0</v>
      </c>
      <c r="F7" s="255"/>
      <c r="G7" s="255"/>
      <c r="H7" s="255"/>
      <c r="I7" s="255"/>
      <c r="J7" s="255"/>
      <c r="K7" s="255"/>
      <c r="L7" s="255"/>
      <c r="M7" s="255"/>
      <c r="N7" s="255"/>
      <c r="O7" s="255"/>
      <c r="P7" s="255"/>
      <c r="Q7" s="255"/>
      <c r="R7" s="255"/>
      <c r="S7" s="255"/>
      <c r="T7" s="255"/>
      <c r="U7" s="477"/>
      <c r="V7" s="236"/>
      <c r="W7" s="236"/>
      <c r="X7" s="236"/>
      <c r="Y7" s="236"/>
      <c r="Z7" s="236"/>
      <c r="AA7" s="236"/>
      <c r="AB7" s="236"/>
      <c r="AC7" s="236"/>
      <c r="AD7" s="236"/>
      <c r="AF7" s="263"/>
    </row>
    <row r="8" spans="2:32" ht="12" customHeight="1" x14ac:dyDescent="0.3">
      <c r="B8" s="1157"/>
      <c r="C8" s="1335" t="s">
        <v>1372</v>
      </c>
      <c r="D8" s="1336"/>
      <c r="E8" s="1158">
        <f t="shared" si="1"/>
        <v>0</v>
      </c>
      <c r="F8" s="476"/>
      <c r="G8" s="476"/>
      <c r="H8" s="476"/>
      <c r="I8" s="476"/>
      <c r="J8" s="476"/>
      <c r="K8" s="476"/>
      <c r="L8" s="476"/>
      <c r="M8" s="476"/>
      <c r="N8" s="476"/>
      <c r="O8" s="476"/>
      <c r="P8" s="476"/>
      <c r="Q8" s="476"/>
      <c r="R8" s="476"/>
      <c r="S8" s="476"/>
      <c r="T8" s="476"/>
      <c r="U8" s="478"/>
      <c r="V8" s="264"/>
      <c r="W8" s="264"/>
      <c r="X8" s="264"/>
      <c r="Y8" s="264"/>
      <c r="Z8" s="264"/>
      <c r="AA8" s="264"/>
      <c r="AB8" s="264"/>
      <c r="AC8" s="264"/>
      <c r="AD8" s="264"/>
      <c r="AF8" s="263"/>
    </row>
    <row r="9" spans="2:32" ht="15" thickBot="1" x14ac:dyDescent="0.35">
      <c r="B9" s="1159"/>
      <c r="C9" s="1160" t="s">
        <v>1444</v>
      </c>
      <c r="D9" s="1160"/>
      <c r="E9" s="1161">
        <f t="shared" si="1"/>
        <v>0</v>
      </c>
      <c r="F9" s="1162">
        <f t="shared" ref="F9:T9" si="2">SUM(F4:F8)</f>
        <v>0</v>
      </c>
      <c r="G9" s="1163">
        <f t="shared" si="2"/>
        <v>0</v>
      </c>
      <c r="H9" s="1163">
        <f t="shared" si="2"/>
        <v>0</v>
      </c>
      <c r="I9" s="1163">
        <f t="shared" si="2"/>
        <v>0</v>
      </c>
      <c r="J9" s="1163">
        <f t="shared" si="2"/>
        <v>0</v>
      </c>
      <c r="K9" s="1163">
        <f t="shared" si="2"/>
        <v>0</v>
      </c>
      <c r="L9" s="1163">
        <f t="shared" si="2"/>
        <v>0</v>
      </c>
      <c r="M9" s="1163">
        <f t="shared" si="2"/>
        <v>0</v>
      </c>
      <c r="N9" s="1163">
        <f t="shared" si="2"/>
        <v>0</v>
      </c>
      <c r="O9" s="1163">
        <f t="shared" si="2"/>
        <v>0</v>
      </c>
      <c r="P9" s="1163">
        <f t="shared" si="2"/>
        <v>0</v>
      </c>
      <c r="Q9" s="1163">
        <f t="shared" si="2"/>
        <v>0</v>
      </c>
      <c r="R9" s="1163">
        <f t="shared" si="2"/>
        <v>0</v>
      </c>
      <c r="S9" s="1163">
        <f t="shared" si="2"/>
        <v>0</v>
      </c>
      <c r="T9" s="1164">
        <f t="shared" si="2"/>
        <v>0</v>
      </c>
      <c r="U9" s="236"/>
      <c r="V9" s="236"/>
      <c r="W9" s="236"/>
      <c r="X9" s="236"/>
      <c r="Y9" s="236"/>
      <c r="Z9" s="236"/>
      <c r="AA9" s="236"/>
      <c r="AB9" s="236"/>
      <c r="AC9" s="236"/>
      <c r="AD9" s="236"/>
      <c r="AF9" s="265"/>
    </row>
    <row r="10" spans="2:32" ht="14.25" thickBot="1" x14ac:dyDescent="0.35">
      <c r="B10" s="1165"/>
      <c r="C10" s="1165"/>
      <c r="D10" s="1165"/>
      <c r="E10" s="1166"/>
      <c r="F10" s="1167"/>
      <c r="G10" s="1167"/>
      <c r="H10" s="1167"/>
      <c r="I10" s="1167"/>
      <c r="J10" s="1167"/>
      <c r="K10" s="1167"/>
      <c r="L10" s="1167"/>
      <c r="M10" s="1167"/>
      <c r="N10" s="1167"/>
      <c r="O10" s="1167"/>
      <c r="P10" s="1167"/>
      <c r="Q10" s="1167"/>
      <c r="R10" s="1167"/>
      <c r="S10" s="1167"/>
      <c r="T10" s="1167"/>
      <c r="U10" s="236"/>
      <c r="V10" s="236"/>
      <c r="W10" s="236"/>
      <c r="X10" s="236"/>
      <c r="Y10" s="236"/>
      <c r="Z10" s="236"/>
      <c r="AA10" s="236"/>
      <c r="AB10" s="236"/>
      <c r="AC10" s="236"/>
      <c r="AD10" s="236"/>
      <c r="AF10" s="263"/>
    </row>
    <row r="11" spans="2:32" ht="14.25" x14ac:dyDescent="0.3">
      <c r="B11" s="1146" t="str">
        <f>B2</f>
        <v>8.1.</v>
      </c>
      <c r="C11" s="1147" t="str">
        <f>C2</f>
        <v xml:space="preserve">Počet osob dotčených úsporou času (počet osob za rok) </v>
      </c>
      <c r="D11" s="1147"/>
      <c r="E11" s="1148"/>
      <c r="F11" s="2018">
        <f>T2+1</f>
        <v>2041</v>
      </c>
      <c r="G11" s="2020">
        <f t="shared" ref="G11:T11" si="3">F11+1</f>
        <v>2042</v>
      </c>
      <c r="H11" s="2020">
        <f t="shared" si="3"/>
        <v>2043</v>
      </c>
      <c r="I11" s="2020">
        <f t="shared" si="3"/>
        <v>2044</v>
      </c>
      <c r="J11" s="2020">
        <f t="shared" si="3"/>
        <v>2045</v>
      </c>
      <c r="K11" s="2020">
        <f t="shared" si="3"/>
        <v>2046</v>
      </c>
      <c r="L11" s="2020">
        <f t="shared" si="3"/>
        <v>2047</v>
      </c>
      <c r="M11" s="2020">
        <f t="shared" si="3"/>
        <v>2048</v>
      </c>
      <c r="N11" s="2020">
        <f t="shared" si="3"/>
        <v>2049</v>
      </c>
      <c r="O11" s="2020">
        <f t="shared" si="3"/>
        <v>2050</v>
      </c>
      <c r="P11" s="2020">
        <f t="shared" si="3"/>
        <v>2051</v>
      </c>
      <c r="Q11" s="2020">
        <f t="shared" si="3"/>
        <v>2052</v>
      </c>
      <c r="R11" s="2020">
        <f t="shared" si="3"/>
        <v>2053</v>
      </c>
      <c r="S11" s="2020">
        <f t="shared" si="3"/>
        <v>2054</v>
      </c>
      <c r="T11" s="2054">
        <f t="shared" si="3"/>
        <v>2055</v>
      </c>
      <c r="U11" s="247"/>
      <c r="V11" s="247"/>
      <c r="W11" s="247"/>
      <c r="X11" s="247"/>
      <c r="Y11" s="247"/>
      <c r="Z11" s="247"/>
      <c r="AA11" s="247"/>
      <c r="AB11" s="247"/>
      <c r="AC11" s="247"/>
      <c r="AD11" s="247"/>
      <c r="AF11" s="263"/>
    </row>
    <row r="12" spans="2:32" ht="15" thickBot="1" x14ac:dyDescent="0.35">
      <c r="B12" s="1149" t="s">
        <v>5</v>
      </c>
      <c r="C12" s="1150"/>
      <c r="D12" s="1168"/>
      <c r="E12" s="1169"/>
      <c r="F12" s="2019"/>
      <c r="G12" s="2021"/>
      <c r="H12" s="2021"/>
      <c r="I12" s="2021"/>
      <c r="J12" s="2021"/>
      <c r="K12" s="2021"/>
      <c r="L12" s="2021"/>
      <c r="M12" s="2021"/>
      <c r="N12" s="2021"/>
      <c r="O12" s="2021"/>
      <c r="P12" s="2021"/>
      <c r="Q12" s="2021"/>
      <c r="R12" s="2021"/>
      <c r="S12" s="2021"/>
      <c r="T12" s="2055"/>
      <c r="U12" s="247"/>
      <c r="V12" s="247"/>
      <c r="W12" s="247"/>
      <c r="X12" s="247"/>
      <c r="Y12" s="247"/>
      <c r="Z12" s="247"/>
      <c r="AA12" s="247"/>
      <c r="AB12" s="247"/>
      <c r="AC12" s="247"/>
      <c r="AD12" s="247"/>
      <c r="AF12" s="263"/>
    </row>
    <row r="13" spans="2:32" ht="14.25" x14ac:dyDescent="0.3">
      <c r="B13" s="1153"/>
      <c r="C13" s="1170" t="str">
        <f t="shared" ref="C13:C18" si="4">C4</f>
        <v>specifikujte</v>
      </c>
      <c r="D13" s="1170"/>
      <c r="E13" s="1171"/>
      <c r="F13" s="255"/>
      <c r="G13" s="255"/>
      <c r="H13" s="255"/>
      <c r="I13" s="255"/>
      <c r="J13" s="255"/>
      <c r="K13" s="255"/>
      <c r="L13" s="255"/>
      <c r="M13" s="255"/>
      <c r="N13" s="255"/>
      <c r="O13" s="255"/>
      <c r="P13" s="255"/>
      <c r="Q13" s="255"/>
      <c r="R13" s="255"/>
      <c r="S13" s="255"/>
      <c r="T13" s="255"/>
      <c r="U13" s="477"/>
      <c r="V13" s="236"/>
      <c r="W13" s="236"/>
      <c r="X13" s="236"/>
      <c r="Y13" s="236"/>
      <c r="Z13" s="236"/>
      <c r="AA13" s="236"/>
      <c r="AB13" s="236"/>
      <c r="AC13" s="236"/>
      <c r="AD13" s="236"/>
      <c r="AF13" s="263"/>
    </row>
    <row r="14" spans="2:32" ht="14.25" x14ac:dyDescent="0.3">
      <c r="B14" s="1155"/>
      <c r="C14" s="1170" t="str">
        <f t="shared" si="4"/>
        <v>specifikujte</v>
      </c>
      <c r="D14" s="1170"/>
      <c r="E14" s="1172"/>
      <c r="F14" s="255"/>
      <c r="G14" s="255"/>
      <c r="H14" s="255"/>
      <c r="I14" s="255"/>
      <c r="J14" s="255"/>
      <c r="K14" s="255"/>
      <c r="L14" s="255"/>
      <c r="M14" s="255"/>
      <c r="N14" s="255"/>
      <c r="O14" s="255"/>
      <c r="P14" s="255"/>
      <c r="Q14" s="255"/>
      <c r="R14" s="255"/>
      <c r="S14" s="255"/>
      <c r="T14" s="255"/>
      <c r="U14" s="477"/>
      <c r="V14" s="236"/>
      <c r="W14" s="236"/>
      <c r="X14" s="236"/>
      <c r="Y14" s="236"/>
      <c r="Z14" s="236"/>
      <c r="AA14" s="236"/>
      <c r="AB14" s="236"/>
      <c r="AC14" s="236"/>
      <c r="AD14" s="236"/>
      <c r="AF14" s="263"/>
    </row>
    <row r="15" spans="2:32" ht="14.25" x14ac:dyDescent="0.3">
      <c r="B15" s="1155"/>
      <c r="C15" s="1170" t="str">
        <f t="shared" si="4"/>
        <v>specifikujte</v>
      </c>
      <c r="D15" s="1170"/>
      <c r="E15" s="1172"/>
      <c r="F15" s="255"/>
      <c r="G15" s="255"/>
      <c r="H15" s="255"/>
      <c r="I15" s="255"/>
      <c r="J15" s="255"/>
      <c r="K15" s="255"/>
      <c r="L15" s="255"/>
      <c r="M15" s="255"/>
      <c r="N15" s="255"/>
      <c r="O15" s="255"/>
      <c r="P15" s="255"/>
      <c r="Q15" s="255"/>
      <c r="R15" s="255"/>
      <c r="S15" s="255"/>
      <c r="T15" s="255"/>
      <c r="U15" s="477"/>
      <c r="V15" s="236"/>
      <c r="W15" s="236"/>
      <c r="X15" s="236"/>
      <c r="Y15" s="236"/>
      <c r="Z15" s="236"/>
      <c r="AA15" s="236"/>
      <c r="AB15" s="236"/>
      <c r="AC15" s="236"/>
      <c r="AD15" s="236"/>
      <c r="AF15" s="263"/>
    </row>
    <row r="16" spans="2:32" ht="14.25" x14ac:dyDescent="0.3">
      <c r="B16" s="1155"/>
      <c r="C16" s="1170" t="str">
        <f t="shared" si="4"/>
        <v>specifikujte</v>
      </c>
      <c r="D16" s="1170"/>
      <c r="E16" s="1172"/>
      <c r="F16" s="255"/>
      <c r="G16" s="255"/>
      <c r="H16" s="255"/>
      <c r="I16" s="255"/>
      <c r="J16" s="255"/>
      <c r="K16" s="255"/>
      <c r="L16" s="255"/>
      <c r="M16" s="255"/>
      <c r="N16" s="255"/>
      <c r="O16" s="255"/>
      <c r="P16" s="255"/>
      <c r="Q16" s="255"/>
      <c r="R16" s="255"/>
      <c r="S16" s="255"/>
      <c r="T16" s="255"/>
      <c r="U16" s="477"/>
      <c r="V16" s="236"/>
      <c r="W16" s="236"/>
      <c r="X16" s="236"/>
      <c r="Y16" s="236"/>
      <c r="Z16" s="236"/>
      <c r="AA16" s="236"/>
      <c r="AB16" s="236"/>
      <c r="AC16" s="236"/>
      <c r="AD16" s="236"/>
      <c r="AF16" s="263"/>
    </row>
    <row r="17" spans="2:32" ht="14.25" x14ac:dyDescent="0.3">
      <c r="B17" s="1157"/>
      <c r="C17" s="1173" t="str">
        <f t="shared" si="4"/>
        <v>specifikujte</v>
      </c>
      <c r="D17" s="1173"/>
      <c r="E17" s="1174"/>
      <c r="F17" s="255"/>
      <c r="G17" s="255"/>
      <c r="H17" s="255"/>
      <c r="I17" s="255"/>
      <c r="J17" s="255"/>
      <c r="K17" s="255"/>
      <c r="L17" s="255"/>
      <c r="M17" s="255"/>
      <c r="N17" s="255"/>
      <c r="O17" s="255"/>
      <c r="P17" s="255"/>
      <c r="Q17" s="255"/>
      <c r="R17" s="476"/>
      <c r="S17" s="476"/>
      <c r="T17" s="476"/>
      <c r="U17" s="478"/>
      <c r="V17" s="264"/>
      <c r="W17" s="264"/>
      <c r="X17" s="264"/>
      <c r="Y17" s="264"/>
      <c r="Z17" s="264"/>
      <c r="AA17" s="264"/>
      <c r="AB17" s="264"/>
      <c r="AC17" s="264"/>
      <c r="AD17" s="264"/>
      <c r="AF17" s="263"/>
    </row>
    <row r="18" spans="2:32" ht="15" thickBot="1" x14ac:dyDescent="0.35">
      <c r="B18" s="1159"/>
      <c r="C18" s="1160" t="str">
        <f t="shared" si="4"/>
        <v xml:space="preserve">Počet osob dotčených úsporou času celkem </v>
      </c>
      <c r="D18" s="1160"/>
      <c r="E18" s="1175"/>
      <c r="F18" s="1162">
        <f t="shared" ref="F18:T18" si="5">SUM(F13:F17)</f>
        <v>0</v>
      </c>
      <c r="G18" s="1163">
        <f t="shared" si="5"/>
        <v>0</v>
      </c>
      <c r="H18" s="1163">
        <f t="shared" si="5"/>
        <v>0</v>
      </c>
      <c r="I18" s="1163">
        <f t="shared" si="5"/>
        <v>0</v>
      </c>
      <c r="J18" s="1163">
        <f t="shared" si="5"/>
        <v>0</v>
      </c>
      <c r="K18" s="1163">
        <f t="shared" si="5"/>
        <v>0</v>
      </c>
      <c r="L18" s="1163">
        <f t="shared" si="5"/>
        <v>0</v>
      </c>
      <c r="M18" s="1163">
        <f t="shared" si="5"/>
        <v>0</v>
      </c>
      <c r="N18" s="1163">
        <f t="shared" si="5"/>
        <v>0</v>
      </c>
      <c r="O18" s="1163">
        <f t="shared" si="5"/>
        <v>0</v>
      </c>
      <c r="P18" s="1163">
        <f t="shared" si="5"/>
        <v>0</v>
      </c>
      <c r="Q18" s="1163">
        <f t="shared" si="5"/>
        <v>0</v>
      </c>
      <c r="R18" s="1163">
        <f t="shared" si="5"/>
        <v>0</v>
      </c>
      <c r="S18" s="1163">
        <f t="shared" si="5"/>
        <v>0</v>
      </c>
      <c r="T18" s="1164">
        <f t="shared" si="5"/>
        <v>0</v>
      </c>
      <c r="U18" s="236"/>
      <c r="V18" s="236"/>
      <c r="W18" s="236"/>
      <c r="X18" s="236"/>
      <c r="Y18" s="236"/>
      <c r="Z18" s="236"/>
      <c r="AA18" s="236"/>
      <c r="AB18" s="236"/>
      <c r="AC18" s="236"/>
      <c r="AD18" s="236"/>
      <c r="AF18" s="263"/>
    </row>
    <row r="19" spans="2:32" ht="14.25" thickBot="1" x14ac:dyDescent="0.35">
      <c r="B19" s="1176"/>
      <c r="C19" s="1177"/>
      <c r="D19" s="1177"/>
      <c r="E19" s="1167"/>
      <c r="F19" s="1167"/>
      <c r="G19" s="1167"/>
      <c r="H19" s="1167"/>
      <c r="I19" s="1167"/>
      <c r="J19" s="1167"/>
      <c r="K19" s="1167"/>
      <c r="L19" s="1167"/>
      <c r="M19" s="1167"/>
      <c r="N19" s="1167"/>
      <c r="O19" s="1167"/>
      <c r="P19" s="1167"/>
      <c r="Q19" s="1167"/>
      <c r="R19" s="1167"/>
      <c r="S19" s="1167"/>
      <c r="T19" s="1167"/>
      <c r="U19" s="236"/>
      <c r="V19" s="236"/>
      <c r="W19" s="236"/>
      <c r="X19" s="236"/>
      <c r="Y19" s="236"/>
      <c r="Z19" s="236"/>
      <c r="AA19" s="236"/>
      <c r="AB19" s="236"/>
      <c r="AC19" s="236"/>
      <c r="AD19" s="236"/>
      <c r="AF19" s="263"/>
    </row>
    <row r="20" spans="2:32" ht="14.25" x14ac:dyDescent="0.3">
      <c r="B20" s="1178" t="s">
        <v>1436</v>
      </c>
      <c r="C20" s="1179" t="s">
        <v>1537</v>
      </c>
      <c r="D20" s="1180"/>
      <c r="E20" s="1181"/>
      <c r="F20" s="2050">
        <f>F2</f>
        <v>2026</v>
      </c>
      <c r="G20" s="2048">
        <f t="shared" ref="G20:T20" si="6">F20+1</f>
        <v>2027</v>
      </c>
      <c r="H20" s="2048">
        <f t="shared" si="6"/>
        <v>2028</v>
      </c>
      <c r="I20" s="2048">
        <f t="shared" si="6"/>
        <v>2029</v>
      </c>
      <c r="J20" s="2048">
        <f t="shared" si="6"/>
        <v>2030</v>
      </c>
      <c r="K20" s="2048">
        <f t="shared" si="6"/>
        <v>2031</v>
      </c>
      <c r="L20" s="2048">
        <f t="shared" si="6"/>
        <v>2032</v>
      </c>
      <c r="M20" s="2048">
        <f t="shared" si="6"/>
        <v>2033</v>
      </c>
      <c r="N20" s="2048">
        <f t="shared" si="6"/>
        <v>2034</v>
      </c>
      <c r="O20" s="2048">
        <f t="shared" si="6"/>
        <v>2035</v>
      </c>
      <c r="P20" s="2048">
        <f t="shared" si="6"/>
        <v>2036</v>
      </c>
      <c r="Q20" s="2048">
        <f t="shared" si="6"/>
        <v>2037</v>
      </c>
      <c r="R20" s="2048">
        <f t="shared" si="6"/>
        <v>2038</v>
      </c>
      <c r="S20" s="2048">
        <f t="shared" si="6"/>
        <v>2039</v>
      </c>
      <c r="T20" s="2052">
        <f t="shared" si="6"/>
        <v>2040</v>
      </c>
      <c r="U20" s="247"/>
      <c r="V20" s="247"/>
      <c r="W20" s="247"/>
      <c r="X20" s="247"/>
      <c r="Y20" s="247"/>
      <c r="Z20" s="247"/>
      <c r="AA20" s="247"/>
      <c r="AB20" s="247"/>
      <c r="AC20" s="247"/>
      <c r="AD20" s="247"/>
      <c r="AF20" s="263"/>
    </row>
    <row r="21" spans="2:32" ht="15" thickBot="1" x14ac:dyDescent="0.35">
      <c r="B21" s="1182" t="s">
        <v>4</v>
      </c>
      <c r="C21" s="1183"/>
      <c r="D21" s="1183"/>
      <c r="E21" s="1184" t="str">
        <f>E3</f>
        <v>Celkem</v>
      </c>
      <c r="F21" s="2051"/>
      <c r="G21" s="2049"/>
      <c r="H21" s="2049"/>
      <c r="I21" s="2049"/>
      <c r="J21" s="2049"/>
      <c r="K21" s="2049"/>
      <c r="L21" s="2049"/>
      <c r="M21" s="2049"/>
      <c r="N21" s="2049"/>
      <c r="O21" s="2049"/>
      <c r="P21" s="2049"/>
      <c r="Q21" s="2049"/>
      <c r="R21" s="2049"/>
      <c r="S21" s="2049"/>
      <c r="T21" s="2053"/>
      <c r="U21" s="247"/>
      <c r="V21" s="247"/>
      <c r="W21" s="247"/>
      <c r="X21" s="247"/>
      <c r="Y21" s="247"/>
      <c r="Z21" s="247"/>
      <c r="AA21" s="247"/>
      <c r="AB21" s="247"/>
      <c r="AC21" s="247"/>
      <c r="AD21" s="247"/>
      <c r="AF21" s="263"/>
    </row>
    <row r="22" spans="2:32" ht="14.25" x14ac:dyDescent="0.3">
      <c r="B22" s="1185"/>
      <c r="C22" s="1186" t="str">
        <f>C4</f>
        <v>specifikujte</v>
      </c>
      <c r="D22" s="1186"/>
      <c r="E22" s="1154">
        <f t="shared" ref="E22:E27" si="7">SUM(F22:T22,F31:T31)</f>
        <v>0</v>
      </c>
      <c r="F22" s="1187">
        <f>$D4*F4/60</f>
        <v>0</v>
      </c>
      <c r="G22" s="1187">
        <f t="shared" ref="G22:T22" si="8">$D4*G4/60</f>
        <v>0</v>
      </c>
      <c r="H22" s="1187">
        <f t="shared" si="8"/>
        <v>0</v>
      </c>
      <c r="I22" s="1187">
        <f t="shared" si="8"/>
        <v>0</v>
      </c>
      <c r="J22" s="1187">
        <f t="shared" si="8"/>
        <v>0</v>
      </c>
      <c r="K22" s="1187">
        <f t="shared" si="8"/>
        <v>0</v>
      </c>
      <c r="L22" s="1187">
        <f t="shared" si="8"/>
        <v>0</v>
      </c>
      <c r="M22" s="1187">
        <f t="shared" si="8"/>
        <v>0</v>
      </c>
      <c r="N22" s="1187">
        <f t="shared" si="8"/>
        <v>0</v>
      </c>
      <c r="O22" s="1187">
        <f t="shared" si="8"/>
        <v>0</v>
      </c>
      <c r="P22" s="1187">
        <f t="shared" si="8"/>
        <v>0</v>
      </c>
      <c r="Q22" s="1187">
        <f t="shared" si="8"/>
        <v>0</v>
      </c>
      <c r="R22" s="1187">
        <f t="shared" si="8"/>
        <v>0</v>
      </c>
      <c r="S22" s="1187">
        <f t="shared" si="8"/>
        <v>0</v>
      </c>
      <c r="T22" s="1187">
        <f t="shared" si="8"/>
        <v>0</v>
      </c>
      <c r="U22" s="477"/>
      <c r="V22" s="236"/>
      <c r="W22" s="236"/>
      <c r="X22" s="236"/>
      <c r="Y22" s="236"/>
      <c r="Z22" s="236"/>
      <c r="AA22" s="236"/>
      <c r="AB22" s="236"/>
      <c r="AC22" s="236"/>
      <c r="AD22" s="236"/>
      <c r="AF22" s="263"/>
    </row>
    <row r="23" spans="2:32" ht="14.25" x14ac:dyDescent="0.3">
      <c r="B23" s="1155"/>
      <c r="C23" s="1170" t="str">
        <f>C5</f>
        <v>specifikujte</v>
      </c>
      <c r="D23" s="1170"/>
      <c r="E23" s="1156">
        <f t="shared" si="7"/>
        <v>0</v>
      </c>
      <c r="F23" s="1187">
        <f>$D5*F5/60</f>
        <v>0</v>
      </c>
      <c r="G23" s="1187">
        <f t="shared" ref="G23:T23" si="9">$D5*G5/60</f>
        <v>0</v>
      </c>
      <c r="H23" s="1187">
        <f t="shared" si="9"/>
        <v>0</v>
      </c>
      <c r="I23" s="1187">
        <f t="shared" si="9"/>
        <v>0</v>
      </c>
      <c r="J23" s="1187">
        <f t="shared" si="9"/>
        <v>0</v>
      </c>
      <c r="K23" s="1187">
        <f t="shared" si="9"/>
        <v>0</v>
      </c>
      <c r="L23" s="1187">
        <f t="shared" si="9"/>
        <v>0</v>
      </c>
      <c r="M23" s="1187">
        <f t="shared" si="9"/>
        <v>0</v>
      </c>
      <c r="N23" s="1187">
        <f t="shared" si="9"/>
        <v>0</v>
      </c>
      <c r="O23" s="1187">
        <f t="shared" si="9"/>
        <v>0</v>
      </c>
      <c r="P23" s="1187">
        <f t="shared" si="9"/>
        <v>0</v>
      </c>
      <c r="Q23" s="1187">
        <f t="shared" si="9"/>
        <v>0</v>
      </c>
      <c r="R23" s="1187">
        <f t="shared" si="9"/>
        <v>0</v>
      </c>
      <c r="S23" s="1187">
        <f t="shared" si="9"/>
        <v>0</v>
      </c>
      <c r="T23" s="1187">
        <f t="shared" si="9"/>
        <v>0</v>
      </c>
      <c r="U23" s="477"/>
      <c r="V23" s="236"/>
      <c r="W23" s="236"/>
      <c r="X23" s="236"/>
      <c r="Y23" s="236"/>
      <c r="Z23" s="236"/>
      <c r="AA23" s="236"/>
      <c r="AB23" s="236"/>
      <c r="AC23" s="236"/>
      <c r="AD23" s="236"/>
      <c r="AF23" s="263"/>
    </row>
    <row r="24" spans="2:32" ht="14.25" x14ac:dyDescent="0.3">
      <c r="B24" s="1155"/>
      <c r="C24" s="1170" t="str">
        <f>C6</f>
        <v>specifikujte</v>
      </c>
      <c r="D24" s="1170"/>
      <c r="E24" s="1156">
        <f t="shared" si="7"/>
        <v>0</v>
      </c>
      <c r="F24" s="1187">
        <f>$D6*F6/60</f>
        <v>0</v>
      </c>
      <c r="G24" s="1187">
        <f t="shared" ref="G24:T24" si="10">$D6*G6/60</f>
        <v>0</v>
      </c>
      <c r="H24" s="1187">
        <f t="shared" si="10"/>
        <v>0</v>
      </c>
      <c r="I24" s="1187">
        <f t="shared" si="10"/>
        <v>0</v>
      </c>
      <c r="J24" s="1187">
        <f t="shared" si="10"/>
        <v>0</v>
      </c>
      <c r="K24" s="1187">
        <f t="shared" si="10"/>
        <v>0</v>
      </c>
      <c r="L24" s="1187">
        <f t="shared" si="10"/>
        <v>0</v>
      </c>
      <c r="M24" s="1187">
        <f t="shared" si="10"/>
        <v>0</v>
      </c>
      <c r="N24" s="1187">
        <f t="shared" si="10"/>
        <v>0</v>
      </c>
      <c r="O24" s="1187">
        <f t="shared" si="10"/>
        <v>0</v>
      </c>
      <c r="P24" s="1187">
        <f t="shared" si="10"/>
        <v>0</v>
      </c>
      <c r="Q24" s="1187">
        <f t="shared" si="10"/>
        <v>0</v>
      </c>
      <c r="R24" s="1187">
        <f t="shared" si="10"/>
        <v>0</v>
      </c>
      <c r="S24" s="1187">
        <f t="shared" si="10"/>
        <v>0</v>
      </c>
      <c r="T24" s="1187">
        <f t="shared" si="10"/>
        <v>0</v>
      </c>
      <c r="U24" s="477"/>
      <c r="V24" s="236"/>
      <c r="W24" s="236"/>
      <c r="X24" s="236"/>
      <c r="Y24" s="236"/>
      <c r="Z24" s="236"/>
      <c r="AA24" s="236"/>
      <c r="AB24" s="236"/>
      <c r="AC24" s="236"/>
      <c r="AD24" s="236"/>
      <c r="AF24" s="263"/>
    </row>
    <row r="25" spans="2:32" ht="14.25" x14ac:dyDescent="0.3">
      <c r="B25" s="1155"/>
      <c r="C25" s="1170" t="str">
        <f>C7</f>
        <v>specifikujte</v>
      </c>
      <c r="D25" s="1170"/>
      <c r="E25" s="1156">
        <f t="shared" si="7"/>
        <v>0</v>
      </c>
      <c r="F25" s="1187">
        <f>$D7*F7/60</f>
        <v>0</v>
      </c>
      <c r="G25" s="1187">
        <f t="shared" ref="G25:T25" si="11">$D7*G7/60</f>
        <v>0</v>
      </c>
      <c r="H25" s="1187">
        <f t="shared" si="11"/>
        <v>0</v>
      </c>
      <c r="I25" s="1187">
        <f t="shared" si="11"/>
        <v>0</v>
      </c>
      <c r="J25" s="1187">
        <f t="shared" si="11"/>
        <v>0</v>
      </c>
      <c r="K25" s="1187">
        <f t="shared" si="11"/>
        <v>0</v>
      </c>
      <c r="L25" s="1187">
        <f t="shared" si="11"/>
        <v>0</v>
      </c>
      <c r="M25" s="1187">
        <f t="shared" si="11"/>
        <v>0</v>
      </c>
      <c r="N25" s="1187">
        <f t="shared" si="11"/>
        <v>0</v>
      </c>
      <c r="O25" s="1187">
        <f t="shared" si="11"/>
        <v>0</v>
      </c>
      <c r="P25" s="1187">
        <f t="shared" si="11"/>
        <v>0</v>
      </c>
      <c r="Q25" s="1187">
        <f t="shared" si="11"/>
        <v>0</v>
      </c>
      <c r="R25" s="1187">
        <f t="shared" si="11"/>
        <v>0</v>
      </c>
      <c r="S25" s="1187">
        <f t="shared" si="11"/>
        <v>0</v>
      </c>
      <c r="T25" s="1187">
        <f t="shared" si="11"/>
        <v>0</v>
      </c>
      <c r="U25" s="477"/>
      <c r="V25" s="236"/>
      <c r="W25" s="236"/>
      <c r="X25" s="236"/>
      <c r="Y25" s="236"/>
      <c r="Z25" s="236"/>
      <c r="AA25" s="236"/>
      <c r="AB25" s="236"/>
      <c r="AC25" s="236"/>
      <c r="AD25" s="236"/>
      <c r="AF25" s="263"/>
    </row>
    <row r="26" spans="2:32" ht="14.25" x14ac:dyDescent="0.3">
      <c r="B26" s="1188"/>
      <c r="C26" s="1170" t="str">
        <f>C8</f>
        <v>specifikujte</v>
      </c>
      <c r="D26" s="1170"/>
      <c r="E26" s="1158">
        <f t="shared" si="7"/>
        <v>0</v>
      </c>
      <c r="F26" s="1187">
        <f>$D8*F8/60</f>
        <v>0</v>
      </c>
      <c r="G26" s="1187">
        <f t="shared" ref="G26:T26" si="12">$D8*G8/60</f>
        <v>0</v>
      </c>
      <c r="H26" s="1187">
        <f t="shared" si="12"/>
        <v>0</v>
      </c>
      <c r="I26" s="1187">
        <f t="shared" si="12"/>
        <v>0</v>
      </c>
      <c r="J26" s="1187">
        <f t="shared" si="12"/>
        <v>0</v>
      </c>
      <c r="K26" s="1187">
        <f t="shared" si="12"/>
        <v>0</v>
      </c>
      <c r="L26" s="1187">
        <f t="shared" si="12"/>
        <v>0</v>
      </c>
      <c r="M26" s="1187">
        <f t="shared" si="12"/>
        <v>0</v>
      </c>
      <c r="N26" s="1187">
        <f t="shared" si="12"/>
        <v>0</v>
      </c>
      <c r="O26" s="1187">
        <f t="shared" si="12"/>
        <v>0</v>
      </c>
      <c r="P26" s="1187">
        <f t="shared" si="12"/>
        <v>0</v>
      </c>
      <c r="Q26" s="1187">
        <f t="shared" si="12"/>
        <v>0</v>
      </c>
      <c r="R26" s="1187">
        <f t="shared" si="12"/>
        <v>0</v>
      </c>
      <c r="S26" s="1187">
        <f t="shared" si="12"/>
        <v>0</v>
      </c>
      <c r="T26" s="1187">
        <f t="shared" si="12"/>
        <v>0</v>
      </c>
      <c r="U26" s="478"/>
      <c r="V26" s="264"/>
      <c r="W26" s="264"/>
      <c r="X26" s="264"/>
      <c r="Y26" s="264"/>
      <c r="Z26" s="264"/>
      <c r="AA26" s="264"/>
      <c r="AB26" s="264"/>
      <c r="AC26" s="264"/>
      <c r="AD26" s="264"/>
      <c r="AF26" s="263"/>
    </row>
    <row r="27" spans="2:32" ht="15" thickBot="1" x14ac:dyDescent="0.35">
      <c r="B27" s="1189"/>
      <c r="C27" s="1190" t="s">
        <v>1445</v>
      </c>
      <c r="D27" s="1191"/>
      <c r="E27" s="273">
        <f t="shared" si="7"/>
        <v>0</v>
      </c>
      <c r="F27" s="1192">
        <f t="shared" ref="F27:T27" si="13">SUM(F22:F26)</f>
        <v>0</v>
      </c>
      <c r="G27" s="1193">
        <f t="shared" si="13"/>
        <v>0</v>
      </c>
      <c r="H27" s="1193">
        <f t="shared" si="13"/>
        <v>0</v>
      </c>
      <c r="I27" s="1193">
        <f t="shared" si="13"/>
        <v>0</v>
      </c>
      <c r="J27" s="1193">
        <f t="shared" si="13"/>
        <v>0</v>
      </c>
      <c r="K27" s="1193">
        <f t="shared" si="13"/>
        <v>0</v>
      </c>
      <c r="L27" s="1193">
        <f t="shared" si="13"/>
        <v>0</v>
      </c>
      <c r="M27" s="1193">
        <f t="shared" si="13"/>
        <v>0</v>
      </c>
      <c r="N27" s="1193">
        <f t="shared" si="13"/>
        <v>0</v>
      </c>
      <c r="O27" s="1193">
        <f t="shared" si="13"/>
        <v>0</v>
      </c>
      <c r="P27" s="1193">
        <f t="shared" si="13"/>
        <v>0</v>
      </c>
      <c r="Q27" s="1193">
        <f t="shared" si="13"/>
        <v>0</v>
      </c>
      <c r="R27" s="1193">
        <f t="shared" si="13"/>
        <v>0</v>
      </c>
      <c r="S27" s="1193">
        <f t="shared" si="13"/>
        <v>0</v>
      </c>
      <c r="T27" s="1194">
        <f t="shared" si="13"/>
        <v>0</v>
      </c>
      <c r="U27" s="236"/>
      <c r="V27" s="236"/>
      <c r="W27" s="236"/>
      <c r="X27" s="236"/>
      <c r="Y27" s="236"/>
      <c r="Z27" s="236"/>
      <c r="AA27" s="236"/>
      <c r="AB27" s="236"/>
      <c r="AC27" s="236"/>
      <c r="AD27" s="236"/>
      <c r="AF27" s="263"/>
    </row>
    <row r="28" spans="2:32" ht="14.25" thickBot="1" x14ac:dyDescent="0.35">
      <c r="B28" s="1165"/>
      <c r="C28" s="1165"/>
      <c r="D28" s="1165"/>
      <c r="E28" s="1166"/>
      <c r="F28" s="1167"/>
      <c r="G28" s="1167"/>
      <c r="H28" s="1167"/>
      <c r="I28" s="1167"/>
      <c r="J28" s="1167"/>
      <c r="K28" s="1167"/>
      <c r="L28" s="1167"/>
      <c r="M28" s="1167"/>
      <c r="N28" s="1167"/>
      <c r="O28" s="1167"/>
      <c r="P28" s="1167"/>
      <c r="Q28" s="1167"/>
      <c r="R28" s="1167"/>
      <c r="S28" s="1167"/>
      <c r="T28" s="1167"/>
      <c r="U28" s="236"/>
      <c r="V28" s="236"/>
      <c r="W28" s="236"/>
      <c r="X28" s="236"/>
      <c r="Y28" s="236"/>
      <c r="Z28" s="236"/>
      <c r="AA28" s="236"/>
      <c r="AB28" s="236"/>
      <c r="AC28" s="236"/>
      <c r="AD28" s="236"/>
      <c r="AF28" s="263"/>
    </row>
    <row r="29" spans="2:32" ht="14.25" x14ac:dyDescent="0.3">
      <c r="B29" s="1178" t="s">
        <v>1436</v>
      </c>
      <c r="C29" s="1180" t="str">
        <f>C20</f>
        <v xml:space="preserve">Úspory z cestovních dob (osobohodiny za rok)  </v>
      </c>
      <c r="D29" s="1180"/>
      <c r="E29" s="1181"/>
      <c r="F29" s="2050">
        <f>T20+1</f>
        <v>2041</v>
      </c>
      <c r="G29" s="2048">
        <f t="shared" ref="G29:T29" si="14">F29+1</f>
        <v>2042</v>
      </c>
      <c r="H29" s="2048">
        <f t="shared" si="14"/>
        <v>2043</v>
      </c>
      <c r="I29" s="2048">
        <f t="shared" si="14"/>
        <v>2044</v>
      </c>
      <c r="J29" s="2048">
        <f t="shared" si="14"/>
        <v>2045</v>
      </c>
      <c r="K29" s="2048">
        <f t="shared" si="14"/>
        <v>2046</v>
      </c>
      <c r="L29" s="2048">
        <f t="shared" si="14"/>
        <v>2047</v>
      </c>
      <c r="M29" s="2048">
        <f t="shared" si="14"/>
        <v>2048</v>
      </c>
      <c r="N29" s="2048">
        <f t="shared" si="14"/>
        <v>2049</v>
      </c>
      <c r="O29" s="2048">
        <f t="shared" si="14"/>
        <v>2050</v>
      </c>
      <c r="P29" s="2048">
        <f t="shared" si="14"/>
        <v>2051</v>
      </c>
      <c r="Q29" s="2048">
        <f t="shared" si="14"/>
        <v>2052</v>
      </c>
      <c r="R29" s="2048">
        <f t="shared" si="14"/>
        <v>2053</v>
      </c>
      <c r="S29" s="2048">
        <f t="shared" si="14"/>
        <v>2054</v>
      </c>
      <c r="T29" s="2052">
        <f t="shared" si="14"/>
        <v>2055</v>
      </c>
      <c r="U29" s="247"/>
      <c r="V29" s="247"/>
      <c r="W29" s="247"/>
      <c r="X29" s="247"/>
      <c r="Y29" s="247"/>
      <c r="Z29" s="247"/>
      <c r="AA29" s="247"/>
      <c r="AB29" s="247"/>
      <c r="AC29" s="247"/>
      <c r="AD29" s="247"/>
      <c r="AF29" s="263"/>
    </row>
    <row r="30" spans="2:32" ht="15" thickBot="1" x14ac:dyDescent="0.35">
      <c r="B30" s="1182" t="s">
        <v>5</v>
      </c>
      <c r="C30" s="1183"/>
      <c r="D30" s="1195"/>
      <c r="E30" s="1196"/>
      <c r="F30" s="2051"/>
      <c r="G30" s="2049"/>
      <c r="H30" s="2049"/>
      <c r="I30" s="2049"/>
      <c r="J30" s="2049"/>
      <c r="K30" s="2049"/>
      <c r="L30" s="2049"/>
      <c r="M30" s="2049"/>
      <c r="N30" s="2049"/>
      <c r="O30" s="2049"/>
      <c r="P30" s="2049"/>
      <c r="Q30" s="2049"/>
      <c r="R30" s="2049"/>
      <c r="S30" s="2049"/>
      <c r="T30" s="2053"/>
      <c r="U30" s="247"/>
      <c r="V30" s="247"/>
      <c r="W30" s="247"/>
      <c r="X30" s="247"/>
      <c r="Y30" s="247"/>
      <c r="Z30" s="247"/>
      <c r="AA30" s="247"/>
      <c r="AB30" s="247"/>
      <c r="AC30" s="247"/>
      <c r="AD30" s="247"/>
      <c r="AF30" s="263"/>
    </row>
    <row r="31" spans="2:32" ht="14.25" x14ac:dyDescent="0.3">
      <c r="B31" s="1153"/>
      <c r="C31" s="1170" t="str">
        <f t="shared" ref="C31:C36" si="15">C22</f>
        <v>specifikujte</v>
      </c>
      <c r="D31" s="1170"/>
      <c r="E31" s="1171"/>
      <c r="F31" s="1187">
        <f>$D4*F13/60</f>
        <v>0</v>
      </c>
      <c r="G31" s="1187">
        <f t="shared" ref="G31:T31" si="16">$D4*G13/60</f>
        <v>0</v>
      </c>
      <c r="H31" s="1187">
        <f t="shared" si="16"/>
        <v>0</v>
      </c>
      <c r="I31" s="1187">
        <f t="shared" si="16"/>
        <v>0</v>
      </c>
      <c r="J31" s="1187">
        <f t="shared" si="16"/>
        <v>0</v>
      </c>
      <c r="K31" s="1187">
        <f t="shared" si="16"/>
        <v>0</v>
      </c>
      <c r="L31" s="1187">
        <f t="shared" si="16"/>
        <v>0</v>
      </c>
      <c r="M31" s="1187">
        <f t="shared" si="16"/>
        <v>0</v>
      </c>
      <c r="N31" s="1187">
        <f t="shared" si="16"/>
        <v>0</v>
      </c>
      <c r="O31" s="1187">
        <f t="shared" si="16"/>
        <v>0</v>
      </c>
      <c r="P31" s="1187">
        <f t="shared" si="16"/>
        <v>0</v>
      </c>
      <c r="Q31" s="1187">
        <f t="shared" si="16"/>
        <v>0</v>
      </c>
      <c r="R31" s="1187">
        <f t="shared" si="16"/>
        <v>0</v>
      </c>
      <c r="S31" s="1187">
        <f t="shared" si="16"/>
        <v>0</v>
      </c>
      <c r="T31" s="1187">
        <f t="shared" si="16"/>
        <v>0</v>
      </c>
      <c r="U31" s="477"/>
      <c r="V31" s="236"/>
      <c r="W31" s="236"/>
      <c r="X31" s="236"/>
      <c r="Y31" s="236"/>
      <c r="Z31" s="236"/>
      <c r="AA31" s="236"/>
      <c r="AB31" s="236"/>
      <c r="AC31" s="236"/>
      <c r="AD31" s="236"/>
      <c r="AF31" s="263"/>
    </row>
    <row r="32" spans="2:32" ht="14.25" x14ac:dyDescent="0.3">
      <c r="B32" s="1155"/>
      <c r="C32" s="1170" t="str">
        <f t="shared" si="15"/>
        <v>specifikujte</v>
      </c>
      <c r="D32" s="1170"/>
      <c r="E32" s="1172"/>
      <c r="F32" s="1187">
        <f>$D5*F14/60</f>
        <v>0</v>
      </c>
      <c r="G32" s="1187">
        <f t="shared" ref="G32:T32" si="17">$D5*G14/60</f>
        <v>0</v>
      </c>
      <c r="H32" s="1187">
        <f t="shared" si="17"/>
        <v>0</v>
      </c>
      <c r="I32" s="1187">
        <f t="shared" si="17"/>
        <v>0</v>
      </c>
      <c r="J32" s="1187">
        <f t="shared" si="17"/>
        <v>0</v>
      </c>
      <c r="K32" s="1187">
        <f t="shared" si="17"/>
        <v>0</v>
      </c>
      <c r="L32" s="1187">
        <f t="shared" si="17"/>
        <v>0</v>
      </c>
      <c r="M32" s="1187">
        <f t="shared" si="17"/>
        <v>0</v>
      </c>
      <c r="N32" s="1187">
        <f t="shared" si="17"/>
        <v>0</v>
      </c>
      <c r="O32" s="1187">
        <f t="shared" si="17"/>
        <v>0</v>
      </c>
      <c r="P32" s="1187">
        <f t="shared" si="17"/>
        <v>0</v>
      </c>
      <c r="Q32" s="1187">
        <f t="shared" si="17"/>
        <v>0</v>
      </c>
      <c r="R32" s="1187">
        <f t="shared" si="17"/>
        <v>0</v>
      </c>
      <c r="S32" s="1187">
        <f t="shared" si="17"/>
        <v>0</v>
      </c>
      <c r="T32" s="1187">
        <f t="shared" si="17"/>
        <v>0</v>
      </c>
      <c r="U32" s="477"/>
      <c r="V32" s="236"/>
      <c r="W32" s="236"/>
      <c r="X32" s="236"/>
      <c r="Y32" s="236"/>
      <c r="Z32" s="236"/>
      <c r="AA32" s="236"/>
      <c r="AB32" s="236"/>
      <c r="AC32" s="236"/>
      <c r="AD32" s="236"/>
      <c r="AF32" s="263"/>
    </row>
    <row r="33" spans="2:32" ht="14.25" x14ac:dyDescent="0.3">
      <c r="B33" s="1155"/>
      <c r="C33" s="1170" t="str">
        <f t="shared" si="15"/>
        <v>specifikujte</v>
      </c>
      <c r="D33" s="1170"/>
      <c r="E33" s="1172"/>
      <c r="F33" s="1187">
        <f>$D6*F15/60</f>
        <v>0</v>
      </c>
      <c r="G33" s="1187">
        <f t="shared" ref="G33:T33" si="18">$D6*G15/60</f>
        <v>0</v>
      </c>
      <c r="H33" s="1187">
        <f t="shared" si="18"/>
        <v>0</v>
      </c>
      <c r="I33" s="1187">
        <f t="shared" si="18"/>
        <v>0</v>
      </c>
      <c r="J33" s="1187">
        <f t="shared" si="18"/>
        <v>0</v>
      </c>
      <c r="K33" s="1187">
        <f t="shared" si="18"/>
        <v>0</v>
      </c>
      <c r="L33" s="1187">
        <f t="shared" si="18"/>
        <v>0</v>
      </c>
      <c r="M33" s="1187">
        <f t="shared" si="18"/>
        <v>0</v>
      </c>
      <c r="N33" s="1187">
        <f t="shared" si="18"/>
        <v>0</v>
      </c>
      <c r="O33" s="1187">
        <f t="shared" si="18"/>
        <v>0</v>
      </c>
      <c r="P33" s="1187">
        <f t="shared" si="18"/>
        <v>0</v>
      </c>
      <c r="Q33" s="1187">
        <f t="shared" si="18"/>
        <v>0</v>
      </c>
      <c r="R33" s="1187">
        <f t="shared" si="18"/>
        <v>0</v>
      </c>
      <c r="S33" s="1187">
        <f t="shared" si="18"/>
        <v>0</v>
      </c>
      <c r="T33" s="1187">
        <f t="shared" si="18"/>
        <v>0</v>
      </c>
      <c r="U33" s="477"/>
      <c r="V33" s="236"/>
      <c r="W33" s="236"/>
      <c r="X33" s="236"/>
      <c r="Y33" s="236"/>
      <c r="Z33" s="236"/>
      <c r="AA33" s="236"/>
      <c r="AB33" s="236"/>
      <c r="AC33" s="236"/>
      <c r="AD33" s="236"/>
      <c r="AF33" s="263"/>
    </row>
    <row r="34" spans="2:32" ht="14.25" x14ac:dyDescent="0.3">
      <c r="B34" s="1155"/>
      <c r="C34" s="1170" t="str">
        <f t="shared" si="15"/>
        <v>specifikujte</v>
      </c>
      <c r="D34" s="1170"/>
      <c r="E34" s="1172"/>
      <c r="F34" s="1187">
        <f>$D7*F16/60</f>
        <v>0</v>
      </c>
      <c r="G34" s="1187">
        <f t="shared" ref="G34:T34" si="19">$D7*G16/60</f>
        <v>0</v>
      </c>
      <c r="H34" s="1187">
        <f t="shared" si="19"/>
        <v>0</v>
      </c>
      <c r="I34" s="1187">
        <f t="shared" si="19"/>
        <v>0</v>
      </c>
      <c r="J34" s="1187">
        <f t="shared" si="19"/>
        <v>0</v>
      </c>
      <c r="K34" s="1187">
        <f t="shared" si="19"/>
        <v>0</v>
      </c>
      <c r="L34" s="1187">
        <f t="shared" si="19"/>
        <v>0</v>
      </c>
      <c r="M34" s="1187">
        <f t="shared" si="19"/>
        <v>0</v>
      </c>
      <c r="N34" s="1187">
        <f t="shared" si="19"/>
        <v>0</v>
      </c>
      <c r="O34" s="1187">
        <f t="shared" si="19"/>
        <v>0</v>
      </c>
      <c r="P34" s="1187">
        <f t="shared" si="19"/>
        <v>0</v>
      </c>
      <c r="Q34" s="1187">
        <f t="shared" si="19"/>
        <v>0</v>
      </c>
      <c r="R34" s="1187">
        <f t="shared" si="19"/>
        <v>0</v>
      </c>
      <c r="S34" s="1187">
        <f t="shared" si="19"/>
        <v>0</v>
      </c>
      <c r="T34" s="1187">
        <f t="shared" si="19"/>
        <v>0</v>
      </c>
      <c r="U34" s="477"/>
      <c r="V34" s="236"/>
      <c r="W34" s="236"/>
      <c r="X34" s="236"/>
      <c r="Y34" s="236"/>
      <c r="Z34" s="236"/>
      <c r="AA34" s="236"/>
      <c r="AB34" s="236"/>
      <c r="AC34" s="236"/>
      <c r="AD34" s="236"/>
      <c r="AF34" s="263"/>
    </row>
    <row r="35" spans="2:32" ht="14.25" x14ac:dyDescent="0.3">
      <c r="B35" s="1157"/>
      <c r="C35" s="1173" t="str">
        <f t="shared" si="15"/>
        <v>specifikujte</v>
      </c>
      <c r="D35" s="1173"/>
      <c r="E35" s="1174"/>
      <c r="F35" s="1187">
        <f>$D8*F17/60</f>
        <v>0</v>
      </c>
      <c r="G35" s="1187">
        <f t="shared" ref="G35:T35" si="20">$D8*G17/60</f>
        <v>0</v>
      </c>
      <c r="H35" s="1187">
        <f t="shared" si="20"/>
        <v>0</v>
      </c>
      <c r="I35" s="1187">
        <f t="shared" si="20"/>
        <v>0</v>
      </c>
      <c r="J35" s="1187">
        <f t="shared" si="20"/>
        <v>0</v>
      </c>
      <c r="K35" s="1187">
        <f t="shared" si="20"/>
        <v>0</v>
      </c>
      <c r="L35" s="1187">
        <f t="shared" si="20"/>
        <v>0</v>
      </c>
      <c r="M35" s="1187">
        <f t="shared" si="20"/>
        <v>0</v>
      </c>
      <c r="N35" s="1187">
        <f t="shared" si="20"/>
        <v>0</v>
      </c>
      <c r="O35" s="1187">
        <f t="shared" si="20"/>
        <v>0</v>
      </c>
      <c r="P35" s="1187">
        <f t="shared" si="20"/>
        <v>0</v>
      </c>
      <c r="Q35" s="1187">
        <f t="shared" si="20"/>
        <v>0</v>
      </c>
      <c r="R35" s="1187">
        <f t="shared" si="20"/>
        <v>0</v>
      </c>
      <c r="S35" s="1187">
        <f t="shared" si="20"/>
        <v>0</v>
      </c>
      <c r="T35" s="1187">
        <f t="shared" si="20"/>
        <v>0</v>
      </c>
      <c r="U35" s="478"/>
      <c r="V35" s="264"/>
      <c r="W35" s="264"/>
      <c r="X35" s="264"/>
      <c r="Y35" s="264"/>
      <c r="Z35" s="264"/>
      <c r="AA35" s="264"/>
      <c r="AB35" s="264"/>
      <c r="AC35" s="264"/>
      <c r="AD35" s="264"/>
      <c r="AF35" s="263"/>
    </row>
    <row r="36" spans="2:32" ht="15" thickBot="1" x14ac:dyDescent="0.35">
      <c r="B36" s="1197"/>
      <c r="C36" s="1198" t="str">
        <f t="shared" si="15"/>
        <v xml:space="preserve">Úspory osobohodin celkem </v>
      </c>
      <c r="D36" s="1198"/>
      <c r="E36" s="1199"/>
      <c r="F36" s="1200">
        <f t="shared" ref="F36:T36" si="21">SUM(F31:F35)</f>
        <v>0</v>
      </c>
      <c r="G36" s="1201">
        <f t="shared" si="21"/>
        <v>0</v>
      </c>
      <c r="H36" s="1201">
        <f t="shared" si="21"/>
        <v>0</v>
      </c>
      <c r="I36" s="1201">
        <f t="shared" si="21"/>
        <v>0</v>
      </c>
      <c r="J36" s="1201">
        <f t="shared" si="21"/>
        <v>0</v>
      </c>
      <c r="K36" s="1201">
        <f t="shared" si="21"/>
        <v>0</v>
      </c>
      <c r="L36" s="1201">
        <f t="shared" si="21"/>
        <v>0</v>
      </c>
      <c r="M36" s="1201">
        <f t="shared" si="21"/>
        <v>0</v>
      </c>
      <c r="N36" s="1201">
        <f t="shared" si="21"/>
        <v>0</v>
      </c>
      <c r="O36" s="1201">
        <f t="shared" si="21"/>
        <v>0</v>
      </c>
      <c r="P36" s="1201">
        <f t="shared" si="21"/>
        <v>0</v>
      </c>
      <c r="Q36" s="1201">
        <f t="shared" si="21"/>
        <v>0</v>
      </c>
      <c r="R36" s="1201">
        <f t="shared" si="21"/>
        <v>0</v>
      </c>
      <c r="S36" s="1201">
        <f t="shared" si="21"/>
        <v>0</v>
      </c>
      <c r="T36" s="1202">
        <f t="shared" si="21"/>
        <v>0</v>
      </c>
      <c r="U36" s="236"/>
      <c r="V36" s="236"/>
      <c r="W36" s="236"/>
      <c r="X36" s="236"/>
      <c r="Y36" s="236"/>
      <c r="Z36" s="236"/>
      <c r="AA36" s="236"/>
      <c r="AB36" s="236"/>
      <c r="AC36" s="236"/>
      <c r="AD36" s="236"/>
      <c r="AF36" s="263"/>
    </row>
    <row r="37" spans="2:32" ht="14.25" thickBot="1" x14ac:dyDescent="0.35">
      <c r="B37" s="1165"/>
      <c r="C37" s="1165"/>
      <c r="D37" s="1165"/>
      <c r="E37" s="1167"/>
      <c r="F37" s="1167"/>
      <c r="G37" s="1167"/>
      <c r="H37" s="1167"/>
      <c r="I37" s="1167"/>
      <c r="J37" s="1167"/>
      <c r="K37" s="1167"/>
      <c r="L37" s="1167"/>
      <c r="M37" s="1167"/>
      <c r="N37" s="1167"/>
      <c r="O37" s="1167"/>
      <c r="P37" s="1167"/>
      <c r="Q37" s="1167"/>
      <c r="R37" s="1167"/>
      <c r="S37" s="1167"/>
      <c r="T37" s="1167"/>
      <c r="U37" s="236"/>
      <c r="V37" s="236"/>
      <c r="W37" s="236"/>
      <c r="X37" s="236"/>
      <c r="Y37" s="236"/>
      <c r="Z37" s="236"/>
      <c r="AA37" s="236"/>
      <c r="AB37" s="236"/>
      <c r="AC37" s="236"/>
      <c r="AD37" s="236"/>
      <c r="AF37" s="263"/>
    </row>
    <row r="38" spans="2:32" ht="12.75" customHeight="1" x14ac:dyDescent="0.3">
      <c r="B38" s="1203" t="s">
        <v>1442</v>
      </c>
      <c r="C38" s="1204" t="str">
        <f>IF('0 Úvod'!$M$10="English",Slovnik!$D$207,Slovnik!$C$207)</f>
        <v>Celkové úspory z cestovních dob (CZK)</v>
      </c>
      <c r="D38" s="1204"/>
      <c r="E38" s="1204"/>
      <c r="F38" s="2036">
        <f>F20</f>
        <v>2026</v>
      </c>
      <c r="G38" s="2016">
        <f t="shared" ref="G38:T38" si="22">F38+1</f>
        <v>2027</v>
      </c>
      <c r="H38" s="2016">
        <f t="shared" si="22"/>
        <v>2028</v>
      </c>
      <c r="I38" s="2016">
        <f t="shared" si="22"/>
        <v>2029</v>
      </c>
      <c r="J38" s="2016">
        <f t="shared" si="22"/>
        <v>2030</v>
      </c>
      <c r="K38" s="2016">
        <f t="shared" si="22"/>
        <v>2031</v>
      </c>
      <c r="L38" s="2016">
        <f t="shared" si="22"/>
        <v>2032</v>
      </c>
      <c r="M38" s="2016">
        <f t="shared" si="22"/>
        <v>2033</v>
      </c>
      <c r="N38" s="2016">
        <f t="shared" si="22"/>
        <v>2034</v>
      </c>
      <c r="O38" s="2016">
        <f t="shared" si="22"/>
        <v>2035</v>
      </c>
      <c r="P38" s="2016">
        <f t="shared" si="22"/>
        <v>2036</v>
      </c>
      <c r="Q38" s="2016">
        <f t="shared" si="22"/>
        <v>2037</v>
      </c>
      <c r="R38" s="2016">
        <f t="shared" si="22"/>
        <v>2038</v>
      </c>
      <c r="S38" s="2016">
        <f t="shared" si="22"/>
        <v>2039</v>
      </c>
      <c r="T38" s="2034">
        <f t="shared" si="22"/>
        <v>2040</v>
      </c>
      <c r="U38" s="247"/>
      <c r="V38" s="247"/>
      <c r="W38" s="247"/>
      <c r="X38" s="247"/>
      <c r="Y38" s="247"/>
      <c r="Z38" s="247"/>
      <c r="AA38" s="247"/>
      <c r="AB38" s="247"/>
      <c r="AC38" s="247"/>
      <c r="AD38" s="247"/>
      <c r="AF38" s="263"/>
    </row>
    <row r="39" spans="2:32" ht="12.75" customHeight="1" thickBot="1" x14ac:dyDescent="0.35">
      <c r="B39" s="1205" t="s">
        <v>4</v>
      </c>
      <c r="C39" s="1206"/>
      <c r="D39" s="1206"/>
      <c r="E39" s="1207" t="str">
        <f>E21</f>
        <v>Celkem</v>
      </c>
      <c r="F39" s="2037"/>
      <c r="G39" s="2017"/>
      <c r="H39" s="2017"/>
      <c r="I39" s="2017"/>
      <c r="J39" s="2017"/>
      <c r="K39" s="2017"/>
      <c r="L39" s="2017"/>
      <c r="M39" s="2017"/>
      <c r="N39" s="2017"/>
      <c r="O39" s="2017"/>
      <c r="P39" s="2017"/>
      <c r="Q39" s="2017"/>
      <c r="R39" s="2017"/>
      <c r="S39" s="2017"/>
      <c r="T39" s="2035"/>
      <c r="U39" s="247"/>
      <c r="V39" s="247"/>
      <c r="W39" s="247"/>
      <c r="X39" s="247"/>
      <c r="Y39" s="247"/>
      <c r="Z39" s="247"/>
      <c r="AA39" s="247"/>
      <c r="AB39" s="247"/>
      <c r="AC39" s="247"/>
      <c r="AD39" s="247"/>
      <c r="AF39" s="263"/>
    </row>
    <row r="40" spans="2:32" ht="14.25" x14ac:dyDescent="0.3">
      <c r="B40" s="1153"/>
      <c r="C40" s="1208" t="str">
        <f>C4</f>
        <v>specifikujte</v>
      </c>
      <c r="D40" s="1209"/>
      <c r="E40" s="1210">
        <f t="shared" ref="E40:E45" si="23">SUM(F40:T40,F49:T49)</f>
        <v>0</v>
      </c>
      <c r="F40" s="1211">
        <f>F22*$N$72*F$84</f>
        <v>0</v>
      </c>
      <c r="G40" s="1212">
        <f t="shared" ref="G40:T40" si="24">G22*$N$72*G$84</f>
        <v>0</v>
      </c>
      <c r="H40" s="1212">
        <f t="shared" si="24"/>
        <v>0</v>
      </c>
      <c r="I40" s="1212">
        <f t="shared" si="24"/>
        <v>0</v>
      </c>
      <c r="J40" s="1212">
        <f t="shared" si="24"/>
        <v>0</v>
      </c>
      <c r="K40" s="1212">
        <f t="shared" si="24"/>
        <v>0</v>
      </c>
      <c r="L40" s="1212">
        <f t="shared" si="24"/>
        <v>0</v>
      </c>
      <c r="M40" s="1212">
        <f t="shared" si="24"/>
        <v>0</v>
      </c>
      <c r="N40" s="1212">
        <f t="shared" si="24"/>
        <v>0</v>
      </c>
      <c r="O40" s="1212">
        <f t="shared" si="24"/>
        <v>0</v>
      </c>
      <c r="P40" s="1212">
        <f t="shared" si="24"/>
        <v>0</v>
      </c>
      <c r="Q40" s="1212">
        <f t="shared" si="24"/>
        <v>0</v>
      </c>
      <c r="R40" s="1212">
        <f t="shared" si="24"/>
        <v>0</v>
      </c>
      <c r="S40" s="1212">
        <f t="shared" si="24"/>
        <v>0</v>
      </c>
      <c r="T40" s="1213">
        <f t="shared" si="24"/>
        <v>0</v>
      </c>
      <c r="U40" s="236"/>
      <c r="V40" s="236"/>
      <c r="W40" s="236"/>
      <c r="X40" s="236"/>
      <c r="Y40" s="236"/>
      <c r="Z40" s="236"/>
      <c r="AA40" s="236"/>
      <c r="AB40" s="236"/>
      <c r="AC40" s="236"/>
      <c r="AD40" s="236"/>
      <c r="AF40" s="265"/>
    </row>
    <row r="41" spans="2:32" ht="14.25" x14ac:dyDescent="0.3">
      <c r="B41" s="1153"/>
      <c r="C41" s="1214" t="str">
        <f>C5</f>
        <v>specifikujte</v>
      </c>
      <c r="D41" s="1209"/>
      <c r="E41" s="1210">
        <f t="shared" si="23"/>
        <v>0</v>
      </c>
      <c r="F41" s="1211">
        <f t="shared" ref="F41:T44" si="25">F23*$N$72*F$84</f>
        <v>0</v>
      </c>
      <c r="G41" s="1187">
        <f t="shared" si="25"/>
        <v>0</v>
      </c>
      <c r="H41" s="1187">
        <f t="shared" si="25"/>
        <v>0</v>
      </c>
      <c r="I41" s="1187">
        <f t="shared" si="25"/>
        <v>0</v>
      </c>
      <c r="J41" s="1187">
        <f t="shared" si="25"/>
        <v>0</v>
      </c>
      <c r="K41" s="1187">
        <f t="shared" si="25"/>
        <v>0</v>
      </c>
      <c r="L41" s="1187">
        <f t="shared" si="25"/>
        <v>0</v>
      </c>
      <c r="M41" s="1187">
        <f t="shared" si="25"/>
        <v>0</v>
      </c>
      <c r="N41" s="1187">
        <f t="shared" si="25"/>
        <v>0</v>
      </c>
      <c r="O41" s="1187">
        <f t="shared" si="25"/>
        <v>0</v>
      </c>
      <c r="P41" s="1187">
        <f t="shared" si="25"/>
        <v>0</v>
      </c>
      <c r="Q41" s="1187">
        <f t="shared" si="25"/>
        <v>0</v>
      </c>
      <c r="R41" s="1187">
        <f t="shared" si="25"/>
        <v>0</v>
      </c>
      <c r="S41" s="1187">
        <f t="shared" si="25"/>
        <v>0</v>
      </c>
      <c r="T41" s="1215">
        <f t="shared" si="25"/>
        <v>0</v>
      </c>
      <c r="U41" s="236"/>
      <c r="V41" s="236"/>
      <c r="W41" s="236"/>
      <c r="X41" s="236"/>
      <c r="Y41" s="236"/>
      <c r="Z41" s="236"/>
      <c r="AA41" s="236"/>
      <c r="AB41" s="236"/>
      <c r="AC41" s="236"/>
      <c r="AD41" s="236"/>
      <c r="AF41" s="265"/>
    </row>
    <row r="42" spans="2:32" ht="14.25" x14ac:dyDescent="0.3">
      <c r="B42" s="1153"/>
      <c r="C42" s="1214" t="str">
        <f t="shared" ref="C42:C44" si="26">C6</f>
        <v>specifikujte</v>
      </c>
      <c r="D42" s="1209"/>
      <c r="E42" s="1210">
        <f t="shared" si="23"/>
        <v>0</v>
      </c>
      <c r="F42" s="1211">
        <f t="shared" si="25"/>
        <v>0</v>
      </c>
      <c r="G42" s="1187">
        <f t="shared" si="25"/>
        <v>0</v>
      </c>
      <c r="H42" s="1187">
        <f t="shared" si="25"/>
        <v>0</v>
      </c>
      <c r="I42" s="1187">
        <f t="shared" si="25"/>
        <v>0</v>
      </c>
      <c r="J42" s="1187">
        <f t="shared" si="25"/>
        <v>0</v>
      </c>
      <c r="K42" s="1187">
        <f t="shared" si="25"/>
        <v>0</v>
      </c>
      <c r="L42" s="1187">
        <f t="shared" si="25"/>
        <v>0</v>
      </c>
      <c r="M42" s="1187">
        <f t="shared" si="25"/>
        <v>0</v>
      </c>
      <c r="N42" s="1187">
        <f t="shared" si="25"/>
        <v>0</v>
      </c>
      <c r="O42" s="1187">
        <f t="shared" si="25"/>
        <v>0</v>
      </c>
      <c r="P42" s="1187">
        <f t="shared" si="25"/>
        <v>0</v>
      </c>
      <c r="Q42" s="1187">
        <f t="shared" si="25"/>
        <v>0</v>
      </c>
      <c r="R42" s="1187">
        <f t="shared" si="25"/>
        <v>0</v>
      </c>
      <c r="S42" s="1187">
        <f t="shared" si="25"/>
        <v>0</v>
      </c>
      <c r="T42" s="1215">
        <f t="shared" si="25"/>
        <v>0</v>
      </c>
      <c r="U42" s="236"/>
      <c r="V42" s="236"/>
      <c r="W42" s="236"/>
      <c r="X42" s="236"/>
      <c r="Y42" s="236"/>
      <c r="Z42" s="236"/>
      <c r="AA42" s="236"/>
      <c r="AB42" s="236"/>
      <c r="AC42" s="236"/>
      <c r="AD42" s="236"/>
      <c r="AF42" s="265"/>
    </row>
    <row r="43" spans="2:32" ht="14.25" x14ac:dyDescent="0.3">
      <c r="B43" s="1153"/>
      <c r="C43" s="1214" t="str">
        <f t="shared" si="26"/>
        <v>specifikujte</v>
      </c>
      <c r="D43" s="1209"/>
      <c r="E43" s="1210">
        <f t="shared" si="23"/>
        <v>0</v>
      </c>
      <c r="F43" s="1211">
        <f t="shared" si="25"/>
        <v>0</v>
      </c>
      <c r="G43" s="1187">
        <f t="shared" si="25"/>
        <v>0</v>
      </c>
      <c r="H43" s="1187">
        <f t="shared" si="25"/>
        <v>0</v>
      </c>
      <c r="I43" s="1187">
        <f t="shared" si="25"/>
        <v>0</v>
      </c>
      <c r="J43" s="1187">
        <f t="shared" si="25"/>
        <v>0</v>
      </c>
      <c r="K43" s="1187">
        <f t="shared" si="25"/>
        <v>0</v>
      </c>
      <c r="L43" s="1187">
        <f t="shared" si="25"/>
        <v>0</v>
      </c>
      <c r="M43" s="1187">
        <f t="shared" si="25"/>
        <v>0</v>
      </c>
      <c r="N43" s="1187">
        <f t="shared" si="25"/>
        <v>0</v>
      </c>
      <c r="O43" s="1187">
        <f t="shared" si="25"/>
        <v>0</v>
      </c>
      <c r="P43" s="1187">
        <f t="shared" si="25"/>
        <v>0</v>
      </c>
      <c r="Q43" s="1187">
        <f t="shared" si="25"/>
        <v>0</v>
      </c>
      <c r="R43" s="1187">
        <f t="shared" si="25"/>
        <v>0</v>
      </c>
      <c r="S43" s="1187">
        <f t="shared" si="25"/>
        <v>0</v>
      </c>
      <c r="T43" s="1215">
        <f t="shared" si="25"/>
        <v>0</v>
      </c>
      <c r="U43" s="236"/>
      <c r="V43" s="236"/>
      <c r="W43" s="236"/>
      <c r="X43" s="236"/>
      <c r="Y43" s="236"/>
      <c r="Z43" s="236"/>
      <c r="AA43" s="236"/>
      <c r="AB43" s="236"/>
      <c r="AC43" s="236"/>
      <c r="AD43" s="236"/>
      <c r="AF43" s="265"/>
    </row>
    <row r="44" spans="2:32" ht="14.25" x14ac:dyDescent="0.3">
      <c r="B44" s="1157"/>
      <c r="C44" s="1173" t="str">
        <f t="shared" si="26"/>
        <v>specifikujte</v>
      </c>
      <c r="D44" s="1173"/>
      <c r="E44" s="1210">
        <f t="shared" si="23"/>
        <v>0</v>
      </c>
      <c r="F44" s="1216">
        <f t="shared" si="25"/>
        <v>0</v>
      </c>
      <c r="G44" s="1217">
        <f t="shared" si="25"/>
        <v>0</v>
      </c>
      <c r="H44" s="1217">
        <f t="shared" si="25"/>
        <v>0</v>
      </c>
      <c r="I44" s="1217">
        <f t="shared" si="25"/>
        <v>0</v>
      </c>
      <c r="J44" s="1217">
        <f t="shared" si="25"/>
        <v>0</v>
      </c>
      <c r="K44" s="1217">
        <f t="shared" si="25"/>
        <v>0</v>
      </c>
      <c r="L44" s="1217">
        <f t="shared" si="25"/>
        <v>0</v>
      </c>
      <c r="M44" s="1217">
        <f t="shared" si="25"/>
        <v>0</v>
      </c>
      <c r="N44" s="1217">
        <f t="shared" si="25"/>
        <v>0</v>
      </c>
      <c r="O44" s="1217">
        <f t="shared" si="25"/>
        <v>0</v>
      </c>
      <c r="P44" s="1217">
        <f t="shared" si="25"/>
        <v>0</v>
      </c>
      <c r="Q44" s="1217">
        <f t="shared" si="25"/>
        <v>0</v>
      </c>
      <c r="R44" s="1217">
        <f t="shared" si="25"/>
        <v>0</v>
      </c>
      <c r="S44" s="1217">
        <f t="shared" si="25"/>
        <v>0</v>
      </c>
      <c r="T44" s="1218">
        <f t="shared" si="25"/>
        <v>0</v>
      </c>
      <c r="U44" s="236"/>
      <c r="V44" s="236"/>
      <c r="W44" s="236"/>
      <c r="X44" s="236"/>
      <c r="Y44" s="236"/>
      <c r="Z44" s="236"/>
      <c r="AA44" s="236"/>
      <c r="AB44" s="236"/>
      <c r="AC44" s="236"/>
      <c r="AD44" s="236"/>
      <c r="AF44" s="266"/>
    </row>
    <row r="45" spans="2:32" ht="15" thickBot="1" x14ac:dyDescent="0.35">
      <c r="B45" s="1219"/>
      <c r="C45" s="1220" t="str">
        <f>IF('0 Úvod'!$M$10="English",Slovnik!D212,Slovnik!C212)</f>
        <v>Celkové úspory z cestovních dob</v>
      </c>
      <c r="D45" s="1220"/>
      <c r="E45" s="1221">
        <f t="shared" si="23"/>
        <v>0</v>
      </c>
      <c r="F45" s="1222">
        <f>SUM(F40:F44)</f>
        <v>0</v>
      </c>
      <c r="G45" s="1223">
        <f t="shared" ref="G45:T45" si="27">SUM(G40:G44)</f>
        <v>0</v>
      </c>
      <c r="H45" s="1223">
        <f t="shared" si="27"/>
        <v>0</v>
      </c>
      <c r="I45" s="1223">
        <f t="shared" si="27"/>
        <v>0</v>
      </c>
      <c r="J45" s="1223">
        <f t="shared" si="27"/>
        <v>0</v>
      </c>
      <c r="K45" s="1223">
        <f t="shared" si="27"/>
        <v>0</v>
      </c>
      <c r="L45" s="1223">
        <f t="shared" si="27"/>
        <v>0</v>
      </c>
      <c r="M45" s="1223">
        <f t="shared" si="27"/>
        <v>0</v>
      </c>
      <c r="N45" s="1223">
        <f t="shared" si="27"/>
        <v>0</v>
      </c>
      <c r="O45" s="1223">
        <f t="shared" si="27"/>
        <v>0</v>
      </c>
      <c r="P45" s="1223">
        <f t="shared" si="27"/>
        <v>0</v>
      </c>
      <c r="Q45" s="1223">
        <f t="shared" si="27"/>
        <v>0</v>
      </c>
      <c r="R45" s="1223">
        <f t="shared" si="27"/>
        <v>0</v>
      </c>
      <c r="S45" s="1223">
        <f t="shared" si="27"/>
        <v>0</v>
      </c>
      <c r="T45" s="1224">
        <f t="shared" si="27"/>
        <v>0</v>
      </c>
      <c r="U45" s="236"/>
      <c r="V45" s="236"/>
      <c r="W45" s="236"/>
      <c r="X45" s="236"/>
      <c r="Y45" s="236"/>
      <c r="Z45" s="236"/>
      <c r="AA45" s="236"/>
      <c r="AB45" s="236"/>
      <c r="AC45" s="236"/>
      <c r="AD45" s="236"/>
      <c r="AF45" s="263"/>
    </row>
    <row r="46" spans="2:32" ht="14.25" thickBot="1" x14ac:dyDescent="0.35">
      <c r="B46" s="1165"/>
      <c r="C46" s="1165"/>
      <c r="D46" s="1165"/>
      <c r="E46" s="1167"/>
      <c r="F46" s="1167"/>
      <c r="G46" s="1167"/>
      <c r="H46" s="1167"/>
      <c r="I46" s="1167"/>
      <c r="J46" s="1167"/>
      <c r="K46" s="1167"/>
      <c r="L46" s="1167"/>
      <c r="M46" s="1167"/>
      <c r="N46" s="1167"/>
      <c r="O46" s="1167"/>
      <c r="P46" s="1167"/>
      <c r="Q46" s="1167"/>
      <c r="R46" s="1167"/>
      <c r="S46" s="1167"/>
      <c r="T46" s="1167"/>
      <c r="U46" s="236"/>
      <c r="V46" s="236"/>
      <c r="W46" s="236"/>
      <c r="X46" s="236"/>
      <c r="Y46" s="236"/>
      <c r="Z46" s="236"/>
      <c r="AA46" s="236"/>
      <c r="AB46" s="236"/>
      <c r="AC46" s="236"/>
      <c r="AD46" s="236"/>
      <c r="AF46" s="263"/>
    </row>
    <row r="47" spans="2:32" ht="12.75" customHeight="1" x14ac:dyDescent="0.3">
      <c r="B47" s="1203" t="str">
        <f>B38</f>
        <v>8.3.</v>
      </c>
      <c r="C47" s="1204" t="str">
        <f>C38</f>
        <v>Celkové úspory z cestovních dob (CZK)</v>
      </c>
      <c r="D47" s="1204"/>
      <c r="E47" s="1204"/>
      <c r="F47" s="2036">
        <f>T38+1</f>
        <v>2041</v>
      </c>
      <c r="G47" s="2016">
        <f t="shared" ref="G47:T47" si="28">F47+1</f>
        <v>2042</v>
      </c>
      <c r="H47" s="2016">
        <f t="shared" si="28"/>
        <v>2043</v>
      </c>
      <c r="I47" s="2016">
        <f t="shared" si="28"/>
        <v>2044</v>
      </c>
      <c r="J47" s="2016">
        <f t="shared" si="28"/>
        <v>2045</v>
      </c>
      <c r="K47" s="2016">
        <f t="shared" si="28"/>
        <v>2046</v>
      </c>
      <c r="L47" s="2016">
        <f t="shared" si="28"/>
        <v>2047</v>
      </c>
      <c r="M47" s="2016">
        <f t="shared" si="28"/>
        <v>2048</v>
      </c>
      <c r="N47" s="2016">
        <f t="shared" si="28"/>
        <v>2049</v>
      </c>
      <c r="O47" s="2016">
        <f t="shared" si="28"/>
        <v>2050</v>
      </c>
      <c r="P47" s="2016">
        <f t="shared" si="28"/>
        <v>2051</v>
      </c>
      <c r="Q47" s="2016">
        <f t="shared" si="28"/>
        <v>2052</v>
      </c>
      <c r="R47" s="2016">
        <f t="shared" si="28"/>
        <v>2053</v>
      </c>
      <c r="S47" s="2016">
        <f t="shared" si="28"/>
        <v>2054</v>
      </c>
      <c r="T47" s="2034">
        <f t="shared" si="28"/>
        <v>2055</v>
      </c>
      <c r="U47" s="247"/>
      <c r="V47" s="247"/>
      <c r="W47" s="247"/>
      <c r="X47" s="247"/>
      <c r="Y47" s="247"/>
      <c r="Z47" s="247"/>
      <c r="AA47" s="247"/>
      <c r="AB47" s="247"/>
      <c r="AC47" s="247"/>
      <c r="AD47" s="247"/>
      <c r="AF47" s="263"/>
    </row>
    <row r="48" spans="2:32" ht="12.75" customHeight="1" thickBot="1" x14ac:dyDescent="0.35">
      <c r="B48" s="1205" t="s">
        <v>5</v>
      </c>
      <c r="C48" s="1225"/>
      <c r="D48" s="1206"/>
      <c r="E48" s="1226"/>
      <c r="F48" s="2037"/>
      <c r="G48" s="2017"/>
      <c r="H48" s="2017"/>
      <c r="I48" s="2017"/>
      <c r="J48" s="2017"/>
      <c r="K48" s="2017"/>
      <c r="L48" s="2017"/>
      <c r="M48" s="2017"/>
      <c r="N48" s="2017"/>
      <c r="O48" s="2017"/>
      <c r="P48" s="2017"/>
      <c r="Q48" s="2017"/>
      <c r="R48" s="2017"/>
      <c r="S48" s="2017"/>
      <c r="T48" s="2035"/>
      <c r="U48" s="247"/>
      <c r="V48" s="247"/>
      <c r="W48" s="247"/>
      <c r="X48" s="247"/>
      <c r="Y48" s="247"/>
      <c r="Z48" s="247"/>
      <c r="AA48" s="247"/>
      <c r="AB48" s="247"/>
      <c r="AC48" s="247"/>
      <c r="AD48" s="247"/>
      <c r="AF48" s="263"/>
    </row>
    <row r="49" spans="2:32" ht="14.25" x14ac:dyDescent="0.3">
      <c r="B49" s="1153"/>
      <c r="C49" s="1170" t="str">
        <f>C40</f>
        <v>specifikujte</v>
      </c>
      <c r="D49" s="1170"/>
      <c r="E49" s="1171"/>
      <c r="F49" s="1211">
        <f>F31*$N$72*F$91</f>
        <v>0</v>
      </c>
      <c r="G49" s="1212">
        <f t="shared" ref="G49:T49" si="29">G31*$N$72*G$91</f>
        <v>0</v>
      </c>
      <c r="H49" s="1212">
        <f t="shared" si="29"/>
        <v>0</v>
      </c>
      <c r="I49" s="1212">
        <f t="shared" si="29"/>
        <v>0</v>
      </c>
      <c r="J49" s="1212">
        <f t="shared" si="29"/>
        <v>0</v>
      </c>
      <c r="K49" s="1212">
        <f t="shared" si="29"/>
        <v>0</v>
      </c>
      <c r="L49" s="1212">
        <f t="shared" si="29"/>
        <v>0</v>
      </c>
      <c r="M49" s="1212">
        <f t="shared" si="29"/>
        <v>0</v>
      </c>
      <c r="N49" s="1212">
        <f t="shared" si="29"/>
        <v>0</v>
      </c>
      <c r="O49" s="1212">
        <f t="shared" si="29"/>
        <v>0</v>
      </c>
      <c r="P49" s="1212">
        <f t="shared" si="29"/>
        <v>0</v>
      </c>
      <c r="Q49" s="1212">
        <f t="shared" si="29"/>
        <v>0</v>
      </c>
      <c r="R49" s="1212">
        <f t="shared" si="29"/>
        <v>0</v>
      </c>
      <c r="S49" s="1212">
        <f t="shared" si="29"/>
        <v>0</v>
      </c>
      <c r="T49" s="1213">
        <f t="shared" si="29"/>
        <v>0</v>
      </c>
      <c r="U49" s="236"/>
      <c r="V49" s="236"/>
      <c r="W49" s="236"/>
      <c r="X49" s="236"/>
      <c r="Y49" s="236"/>
      <c r="Z49" s="236"/>
      <c r="AA49" s="236"/>
      <c r="AB49" s="236"/>
      <c r="AC49" s="236"/>
      <c r="AD49" s="236"/>
      <c r="AF49" s="265"/>
    </row>
    <row r="50" spans="2:32" ht="14.25" x14ac:dyDescent="0.3">
      <c r="B50" s="1155"/>
      <c r="C50" s="1170" t="str">
        <f>C41</f>
        <v>specifikujte</v>
      </c>
      <c r="D50" s="1170"/>
      <c r="E50" s="1172"/>
      <c r="F50" s="1211">
        <f t="shared" ref="F50:T53" si="30">F32*$N$72*F$91</f>
        <v>0</v>
      </c>
      <c r="G50" s="1187">
        <f t="shared" si="30"/>
        <v>0</v>
      </c>
      <c r="H50" s="1187">
        <f t="shared" si="30"/>
        <v>0</v>
      </c>
      <c r="I50" s="1187">
        <f t="shared" si="30"/>
        <v>0</v>
      </c>
      <c r="J50" s="1187">
        <f t="shared" si="30"/>
        <v>0</v>
      </c>
      <c r="K50" s="1187">
        <f t="shared" si="30"/>
        <v>0</v>
      </c>
      <c r="L50" s="1187">
        <f t="shared" si="30"/>
        <v>0</v>
      </c>
      <c r="M50" s="1187">
        <f t="shared" si="30"/>
        <v>0</v>
      </c>
      <c r="N50" s="1187">
        <f t="shared" si="30"/>
        <v>0</v>
      </c>
      <c r="O50" s="1187">
        <f t="shared" si="30"/>
        <v>0</v>
      </c>
      <c r="P50" s="1187">
        <f t="shared" si="30"/>
        <v>0</v>
      </c>
      <c r="Q50" s="1187">
        <f t="shared" si="30"/>
        <v>0</v>
      </c>
      <c r="R50" s="1187">
        <f t="shared" si="30"/>
        <v>0</v>
      </c>
      <c r="S50" s="1187">
        <f t="shared" si="30"/>
        <v>0</v>
      </c>
      <c r="T50" s="1215">
        <f t="shared" si="30"/>
        <v>0</v>
      </c>
      <c r="U50" s="236"/>
      <c r="V50" s="236"/>
      <c r="W50" s="236"/>
      <c r="X50" s="236"/>
      <c r="Y50" s="236"/>
      <c r="Z50" s="236"/>
      <c r="AA50" s="236"/>
      <c r="AB50" s="236"/>
      <c r="AC50" s="236"/>
      <c r="AD50" s="236"/>
      <c r="AF50" s="265"/>
    </row>
    <row r="51" spans="2:32" ht="14.25" x14ac:dyDescent="0.3">
      <c r="B51" s="1155"/>
      <c r="C51" s="1170" t="str">
        <f t="shared" ref="C51:C53" si="31">C42</f>
        <v>specifikujte</v>
      </c>
      <c r="D51" s="1170"/>
      <c r="E51" s="1172"/>
      <c r="F51" s="1211">
        <f t="shared" si="30"/>
        <v>0</v>
      </c>
      <c r="G51" s="1187">
        <f t="shared" si="30"/>
        <v>0</v>
      </c>
      <c r="H51" s="1187">
        <f t="shared" si="30"/>
        <v>0</v>
      </c>
      <c r="I51" s="1187">
        <f t="shared" si="30"/>
        <v>0</v>
      </c>
      <c r="J51" s="1187">
        <f t="shared" si="30"/>
        <v>0</v>
      </c>
      <c r="K51" s="1187">
        <f t="shared" si="30"/>
        <v>0</v>
      </c>
      <c r="L51" s="1187">
        <f t="shared" si="30"/>
        <v>0</v>
      </c>
      <c r="M51" s="1187">
        <f t="shared" si="30"/>
        <v>0</v>
      </c>
      <c r="N51" s="1187">
        <f t="shared" si="30"/>
        <v>0</v>
      </c>
      <c r="O51" s="1187">
        <f t="shared" si="30"/>
        <v>0</v>
      </c>
      <c r="P51" s="1187">
        <f t="shared" si="30"/>
        <v>0</v>
      </c>
      <c r="Q51" s="1187">
        <f t="shared" si="30"/>
        <v>0</v>
      </c>
      <c r="R51" s="1187">
        <f t="shared" si="30"/>
        <v>0</v>
      </c>
      <c r="S51" s="1187">
        <f t="shared" si="30"/>
        <v>0</v>
      </c>
      <c r="T51" s="1215">
        <f t="shared" si="30"/>
        <v>0</v>
      </c>
      <c r="U51" s="236"/>
      <c r="V51" s="236"/>
      <c r="W51" s="236"/>
      <c r="X51" s="236"/>
      <c r="Y51" s="236"/>
      <c r="Z51" s="236"/>
      <c r="AA51" s="236"/>
      <c r="AB51" s="236"/>
      <c r="AC51" s="236"/>
      <c r="AD51" s="236"/>
      <c r="AF51" s="265"/>
    </row>
    <row r="52" spans="2:32" ht="14.25" x14ac:dyDescent="0.3">
      <c r="B52" s="1155"/>
      <c r="C52" s="1170" t="str">
        <f t="shared" si="31"/>
        <v>specifikujte</v>
      </c>
      <c r="D52" s="1170"/>
      <c r="E52" s="1172"/>
      <c r="F52" s="1211">
        <f t="shared" si="30"/>
        <v>0</v>
      </c>
      <c r="G52" s="1187">
        <f t="shared" si="30"/>
        <v>0</v>
      </c>
      <c r="H52" s="1187">
        <f t="shared" si="30"/>
        <v>0</v>
      </c>
      <c r="I52" s="1187">
        <f t="shared" si="30"/>
        <v>0</v>
      </c>
      <c r="J52" s="1187">
        <f t="shared" si="30"/>
        <v>0</v>
      </c>
      <c r="K52" s="1187">
        <f t="shared" si="30"/>
        <v>0</v>
      </c>
      <c r="L52" s="1187">
        <f t="shared" si="30"/>
        <v>0</v>
      </c>
      <c r="M52" s="1187">
        <f t="shared" si="30"/>
        <v>0</v>
      </c>
      <c r="N52" s="1187">
        <f t="shared" si="30"/>
        <v>0</v>
      </c>
      <c r="O52" s="1187">
        <f t="shared" si="30"/>
        <v>0</v>
      </c>
      <c r="P52" s="1187">
        <f t="shared" si="30"/>
        <v>0</v>
      </c>
      <c r="Q52" s="1187">
        <f t="shared" si="30"/>
        <v>0</v>
      </c>
      <c r="R52" s="1187">
        <f t="shared" si="30"/>
        <v>0</v>
      </c>
      <c r="S52" s="1187">
        <f t="shared" si="30"/>
        <v>0</v>
      </c>
      <c r="T52" s="1215">
        <f t="shared" si="30"/>
        <v>0</v>
      </c>
      <c r="U52" s="236"/>
      <c r="V52" s="236"/>
      <c r="W52" s="236"/>
      <c r="X52" s="236"/>
      <c r="Y52" s="236"/>
      <c r="Z52" s="236"/>
      <c r="AA52" s="236"/>
      <c r="AB52" s="236"/>
      <c r="AC52" s="236"/>
      <c r="AD52" s="236"/>
      <c r="AF52" s="265"/>
    </row>
    <row r="53" spans="2:32" ht="14.25" x14ac:dyDescent="0.3">
      <c r="B53" s="1157"/>
      <c r="C53" s="1173" t="str">
        <f t="shared" si="31"/>
        <v>specifikujte</v>
      </c>
      <c r="D53" s="1173"/>
      <c r="E53" s="1174"/>
      <c r="F53" s="1216">
        <f t="shared" si="30"/>
        <v>0</v>
      </c>
      <c r="G53" s="1217">
        <f t="shared" si="30"/>
        <v>0</v>
      </c>
      <c r="H53" s="1217">
        <f t="shared" si="30"/>
        <v>0</v>
      </c>
      <c r="I53" s="1217">
        <f t="shared" si="30"/>
        <v>0</v>
      </c>
      <c r="J53" s="1217">
        <f t="shared" si="30"/>
        <v>0</v>
      </c>
      <c r="K53" s="1217">
        <f t="shared" si="30"/>
        <v>0</v>
      </c>
      <c r="L53" s="1217">
        <f t="shared" si="30"/>
        <v>0</v>
      </c>
      <c r="M53" s="1217">
        <f t="shared" si="30"/>
        <v>0</v>
      </c>
      <c r="N53" s="1217">
        <f t="shared" si="30"/>
        <v>0</v>
      </c>
      <c r="O53" s="1217">
        <f t="shared" si="30"/>
        <v>0</v>
      </c>
      <c r="P53" s="1217">
        <f t="shared" si="30"/>
        <v>0</v>
      </c>
      <c r="Q53" s="1217">
        <f t="shared" si="30"/>
        <v>0</v>
      </c>
      <c r="R53" s="1217">
        <f t="shared" si="30"/>
        <v>0</v>
      </c>
      <c r="S53" s="1217">
        <f t="shared" si="30"/>
        <v>0</v>
      </c>
      <c r="T53" s="1218">
        <f t="shared" si="30"/>
        <v>0</v>
      </c>
      <c r="U53" s="236"/>
      <c r="V53" s="236"/>
      <c r="W53" s="236"/>
      <c r="X53" s="236"/>
      <c r="Y53" s="236"/>
      <c r="Z53" s="236"/>
      <c r="AA53" s="236"/>
      <c r="AB53" s="236"/>
      <c r="AC53" s="236"/>
      <c r="AD53" s="236"/>
      <c r="AF53" s="266"/>
    </row>
    <row r="54" spans="2:32" ht="15" thickBot="1" x14ac:dyDescent="0.35">
      <c r="B54" s="1219"/>
      <c r="C54" s="1220" t="str">
        <f>C45</f>
        <v>Celkové úspory z cestovních dob</v>
      </c>
      <c r="D54" s="1220"/>
      <c r="E54" s="1223"/>
      <c r="F54" s="1222">
        <f t="shared" ref="F54:T54" si="32">SUM(F49:F53)</f>
        <v>0</v>
      </c>
      <c r="G54" s="1223">
        <f t="shared" si="32"/>
        <v>0</v>
      </c>
      <c r="H54" s="1223">
        <f t="shared" si="32"/>
        <v>0</v>
      </c>
      <c r="I54" s="1223">
        <f t="shared" si="32"/>
        <v>0</v>
      </c>
      <c r="J54" s="1223">
        <f t="shared" si="32"/>
        <v>0</v>
      </c>
      <c r="K54" s="1223">
        <f t="shared" si="32"/>
        <v>0</v>
      </c>
      <c r="L54" s="1223">
        <f t="shared" si="32"/>
        <v>0</v>
      </c>
      <c r="M54" s="1223">
        <f t="shared" si="32"/>
        <v>0</v>
      </c>
      <c r="N54" s="1223">
        <f t="shared" si="32"/>
        <v>0</v>
      </c>
      <c r="O54" s="1223">
        <f t="shared" si="32"/>
        <v>0</v>
      </c>
      <c r="P54" s="1223">
        <f t="shared" si="32"/>
        <v>0</v>
      </c>
      <c r="Q54" s="1223">
        <f t="shared" si="32"/>
        <v>0</v>
      </c>
      <c r="R54" s="1223">
        <f t="shared" si="32"/>
        <v>0</v>
      </c>
      <c r="S54" s="1223">
        <f t="shared" si="32"/>
        <v>0</v>
      </c>
      <c r="T54" s="1224">
        <f t="shared" si="32"/>
        <v>0</v>
      </c>
      <c r="U54" s="236"/>
      <c r="V54" s="236"/>
      <c r="W54" s="236"/>
      <c r="X54" s="236"/>
      <c r="Y54" s="236"/>
      <c r="Z54" s="236"/>
      <c r="AA54" s="236"/>
      <c r="AB54" s="236"/>
      <c r="AC54" s="236"/>
      <c r="AD54" s="236"/>
      <c r="AF54" s="263"/>
    </row>
    <row r="55" spans="2:32" ht="14.25" thickBot="1" x14ac:dyDescent="0.35">
      <c r="B55" s="1165"/>
      <c r="C55" s="1165"/>
      <c r="D55" s="1165"/>
      <c r="E55" s="1165"/>
      <c r="F55" s="1165"/>
      <c r="G55" s="1165"/>
      <c r="H55" s="1165"/>
      <c r="I55" s="1165"/>
      <c r="J55" s="1165"/>
      <c r="K55" s="1165"/>
      <c r="L55" s="1165"/>
      <c r="M55" s="1165"/>
      <c r="N55" s="1165"/>
      <c r="O55" s="1165"/>
      <c r="P55" s="1165"/>
      <c r="Q55" s="1165"/>
      <c r="R55" s="1165"/>
      <c r="S55" s="1165"/>
      <c r="T55" s="1165"/>
    </row>
    <row r="56" spans="2:32" ht="15" thickBot="1" x14ac:dyDescent="0.35">
      <c r="B56" s="1227"/>
      <c r="C56" s="1228" t="str">
        <f>IF('0 Úvod'!$M$10="English",Slovnik!D217,Slovnik!C217)</f>
        <v>Celkové úspory z cestovních dob (CZK)</v>
      </c>
      <c r="D56" s="1228"/>
      <c r="E56" s="1229">
        <f>E45</f>
        <v>0</v>
      </c>
      <c r="F56" s="1230"/>
      <c r="G56" s="1230"/>
      <c r="H56" s="1230"/>
      <c r="I56" s="1230"/>
      <c r="J56" s="1165"/>
      <c r="K56" s="1230"/>
      <c r="L56" s="1230"/>
      <c r="M56" s="1230"/>
      <c r="N56" s="1230"/>
      <c r="O56" s="1230"/>
      <c r="P56" s="1230"/>
      <c r="Q56" s="1165"/>
      <c r="R56" s="1165"/>
      <c r="S56" s="1165"/>
      <c r="T56" s="1165"/>
    </row>
    <row r="57" spans="2:32" ht="15" thickBot="1" x14ac:dyDescent="0.35">
      <c r="B57" s="1165"/>
      <c r="C57" s="1165"/>
      <c r="D57" s="1165"/>
      <c r="E57" s="1165"/>
      <c r="F57" s="1165"/>
      <c r="G57" s="1165"/>
      <c r="H57" s="1165"/>
      <c r="I57" s="1165"/>
      <c r="J57" s="1165"/>
      <c r="K57" s="1165"/>
      <c r="L57" s="1231" t="s">
        <v>45</v>
      </c>
      <c r="M57" s="1232"/>
      <c r="N57" s="1232"/>
      <c r="O57" s="1233"/>
      <c r="P57" s="1165"/>
      <c r="Q57" s="1165"/>
      <c r="R57" s="1165"/>
      <c r="S57" s="1165"/>
      <c r="T57" s="1165"/>
    </row>
    <row r="58" spans="2:32" ht="13.5" customHeight="1" thickBot="1" x14ac:dyDescent="0.35">
      <c r="B58" s="1165"/>
      <c r="C58" s="1165"/>
      <c r="D58" s="1165"/>
      <c r="E58" s="1165"/>
      <c r="F58" s="2032" t="str">
        <f>IF('0 Úvod'!$M$10="English",Slovnik!$D$228,Slovnik!$C$228)</f>
        <v>CÚ</v>
      </c>
      <c r="G58" s="2033"/>
      <c r="H58" s="1165"/>
      <c r="I58" s="1165"/>
      <c r="J58" s="1165"/>
      <c r="K58" s="1165"/>
      <c r="L58" s="2038" t="str">
        <f>IF('0 Úvod'!$M$10="English",Slovnik!$D$239,Slovnik!$C$239)</f>
        <v>Poměr cest</v>
      </c>
      <c r="M58" s="2039"/>
      <c r="N58" s="2039"/>
      <c r="O58" s="2040"/>
      <c r="P58" s="1165"/>
      <c r="Q58" s="1165"/>
      <c r="R58" s="1165"/>
      <c r="S58" s="1165"/>
      <c r="T58" s="1165"/>
    </row>
    <row r="59" spans="2:32" ht="18" customHeight="1" thickBot="1" x14ac:dyDescent="0.35">
      <c r="B59" s="1234" t="s">
        <v>44</v>
      </c>
      <c r="C59" s="1235" t="str">
        <f>IF('0 Úvod'!$M$10="English",Slovnik!$D$218,Slovnik!$C$218)</f>
        <v>HODNOTY ČASU</v>
      </c>
      <c r="D59" s="1236"/>
      <c r="E59" s="1237"/>
      <c r="F59" s="1238">
        <v>2017</v>
      </c>
      <c r="G59" s="1239">
        <f>'0 Úvod'!D18</f>
        <v>2025</v>
      </c>
      <c r="H59" s="1165"/>
      <c r="I59" s="1165"/>
      <c r="J59" s="1165"/>
      <c r="K59" s="1240"/>
      <c r="L59" s="2041"/>
      <c r="M59" s="2042"/>
      <c r="N59" s="2042"/>
      <c r="O59" s="2043"/>
      <c r="P59" s="1165"/>
      <c r="Q59" s="1165"/>
      <c r="R59" s="1165"/>
      <c r="S59" s="1165"/>
      <c r="T59" s="1165"/>
    </row>
    <row r="60" spans="2:32" ht="13.15" customHeight="1" x14ac:dyDescent="0.3">
      <c r="B60" s="2044" t="str">
        <f>IF('0 Úvod'!$M$10="English",Slovnik!$D$219,Slovnik!$C$219)</f>
        <v>Osobní doprava</v>
      </c>
      <c r="C60" s="2045"/>
      <c r="D60" s="2045"/>
      <c r="E60" s="2045"/>
      <c r="F60" s="1241" t="str">
        <f>IF('0 Úvod'!$M$10="English",Slovnik!$D$229,Slovnik!$C$229)</f>
        <v>CZK/oshod</v>
      </c>
      <c r="G60" s="1241" t="str">
        <f>IF('0 Úvod'!$M$10="English",Slovnik!$D$229,Slovnik!$C$229)</f>
        <v>CZK/oshod</v>
      </c>
      <c r="H60" s="1165"/>
      <c r="I60" s="1165"/>
      <c r="J60" s="1165"/>
      <c r="K60" s="1240"/>
      <c r="L60" s="1242" t="str">
        <f>IF('0 Úvod'!$M$10="English",Slovnik!$D$240,Slovnik!$C$240)</f>
        <v>krátké</v>
      </c>
      <c r="M60" s="1243" t="str">
        <f>IF('0 Úvod'!$M$10="English",Slovnik!$D$241,Slovnik!$C$241)</f>
        <v>dlouhé</v>
      </c>
      <c r="N60" s="1243" t="str">
        <f>IF('0 Úvod'!$M$10="English",Slovnik!$D$242,Slovnik!$C$242)</f>
        <v>BUS</v>
      </c>
      <c r="O60" s="1244" t="str">
        <f>IF('0 Úvod'!$M$10="English",Slovnik!$D$243,Slovnik!$C$243)</f>
        <v>IAD</v>
      </c>
      <c r="P60" s="1165"/>
      <c r="Q60" s="1165"/>
      <c r="R60" s="1165"/>
      <c r="S60" s="1165"/>
      <c r="T60" s="1165"/>
    </row>
    <row r="61" spans="2:32" ht="14.25" x14ac:dyDescent="0.3">
      <c r="B61" s="2010" t="str">
        <f>IF('0 Úvod'!$M$10="English",Slovnik!$D$220,Slovnik!$C$220)</f>
        <v>Pracovní čas</v>
      </c>
      <c r="C61" s="2011"/>
      <c r="D61" s="1245"/>
      <c r="E61" s="1246" t="str">
        <f>IF('0 Úvod'!$M$10="English",Slovnik!$D$226,Slovnik!$C$226)</f>
        <v>Bus</v>
      </c>
      <c r="F61" s="1247">
        <v>481.7</v>
      </c>
      <c r="G61" s="1248">
        <f>F61*G77</f>
        <v>757.97760632212021</v>
      </c>
      <c r="H61" s="1249"/>
      <c r="I61" s="1165"/>
      <c r="J61" s="1165"/>
      <c r="K61" s="1250"/>
      <c r="L61" s="1251"/>
      <c r="M61" s="1252"/>
      <c r="N61" s="1252">
        <v>0.1</v>
      </c>
      <c r="O61" s="1253"/>
      <c r="P61" s="1165"/>
      <c r="Q61" s="1165"/>
      <c r="R61" s="1165"/>
      <c r="S61" s="1165"/>
      <c r="T61" s="1165"/>
    </row>
    <row r="62" spans="2:32" ht="14.25" x14ac:dyDescent="0.3">
      <c r="B62" s="2046"/>
      <c r="C62" s="2047"/>
      <c r="D62" s="1254"/>
      <c r="E62" s="1246" t="str">
        <f>IF('0 Úvod'!$M$10="English",Slovnik!$D$227,Slovnik!$C$227)</f>
        <v>Auto, vlak</v>
      </c>
      <c r="F62" s="1247">
        <v>600.34</v>
      </c>
      <c r="G62" s="1248"/>
      <c r="H62" s="1249"/>
      <c r="I62" s="1165"/>
      <c r="J62" s="1165"/>
      <c r="K62" s="1250"/>
      <c r="L62" s="1255"/>
      <c r="M62" s="1256"/>
      <c r="N62" s="1256"/>
      <c r="O62" s="1257"/>
      <c r="P62" s="1165"/>
      <c r="Q62" s="1165"/>
      <c r="R62" s="1165"/>
      <c r="S62" s="1165"/>
      <c r="T62" s="1165"/>
    </row>
    <row r="63" spans="2:32" ht="14.25" x14ac:dyDescent="0.3">
      <c r="B63" s="2026" t="str">
        <f>IF('0 Úvod'!$M$10="English",Slovnik!$D$221,Slovnik!$C$221)</f>
        <v>Nepracovní čas</v>
      </c>
      <c r="C63" s="2029" t="str">
        <f>IF('0 Úvod'!$M$10="English",Slovnik!$D$222,Slovnik!$C$222)</f>
        <v>Krátká dojížďka</v>
      </c>
      <c r="D63" s="1258"/>
      <c r="E63" s="1246" t="str">
        <f>IF('0 Úvod'!$M$10="English",Slovnik!$D$226,Slovnik!$C$226)</f>
        <v>Bus</v>
      </c>
      <c r="F63" s="1247">
        <v>168.01</v>
      </c>
      <c r="G63" s="1248">
        <f>F63*G77</f>
        <v>264.37163719779824</v>
      </c>
      <c r="H63" s="1249"/>
      <c r="I63" s="1165"/>
      <c r="J63" s="1165"/>
      <c r="K63" s="1250"/>
      <c r="L63" s="1255"/>
      <c r="M63" s="1256"/>
      <c r="N63" s="1259">
        <v>0.9</v>
      </c>
      <c r="O63" s="1257"/>
      <c r="P63" s="1165"/>
      <c r="Q63" s="1165"/>
      <c r="R63" s="1165"/>
      <c r="S63" s="1165"/>
      <c r="T63" s="1165"/>
    </row>
    <row r="64" spans="2:32" ht="14.25" x14ac:dyDescent="0.3">
      <c r="B64" s="2027"/>
      <c r="C64" s="2030"/>
      <c r="D64" s="1260"/>
      <c r="E64" s="1246" t="str">
        <f>IF('0 Úvod'!$M$10="English",Slovnik!$D$227,Slovnik!$C$227)</f>
        <v>Auto, vlak</v>
      </c>
      <c r="F64" s="1247">
        <v>233.92</v>
      </c>
      <c r="G64" s="1248"/>
      <c r="H64" s="1249"/>
      <c r="I64" s="1165"/>
      <c r="J64" s="1165"/>
      <c r="K64" s="1250"/>
      <c r="L64" s="1261"/>
      <c r="M64" s="1256"/>
      <c r="N64" s="1256"/>
      <c r="O64" s="1262"/>
      <c r="P64" s="1165"/>
      <c r="Q64" s="1165"/>
      <c r="R64" s="1165"/>
      <c r="S64" s="1165"/>
      <c r="T64" s="1165"/>
    </row>
    <row r="65" spans="2:30" ht="14.25" x14ac:dyDescent="0.3">
      <c r="B65" s="2027"/>
      <c r="C65" s="2029" t="str">
        <f>IF('0 Úvod'!$M$10="English",Slovnik!$D$223,Slovnik!$C$223)</f>
        <v>Dlouhá dojížďka</v>
      </c>
      <c r="D65" s="1258"/>
      <c r="E65" s="1246" t="str">
        <f>IF('0 Úvod'!$M$10="English",Slovnik!$D$226,Slovnik!$C$226)</f>
        <v>Bus</v>
      </c>
      <c r="F65" s="1247">
        <v>216.02</v>
      </c>
      <c r="G65" s="1248"/>
      <c r="H65" s="1249"/>
      <c r="I65" s="1165"/>
      <c r="J65" s="1165"/>
      <c r="K65" s="1250"/>
      <c r="L65" s="1255"/>
      <c r="M65" s="1256"/>
      <c r="N65" s="1259"/>
      <c r="O65" s="1257"/>
      <c r="P65" s="1165"/>
      <c r="Q65" s="1165"/>
      <c r="R65" s="1165"/>
      <c r="S65" s="1165"/>
      <c r="T65" s="1165"/>
    </row>
    <row r="66" spans="2:30" ht="14.25" x14ac:dyDescent="0.3">
      <c r="B66" s="2027"/>
      <c r="C66" s="2030"/>
      <c r="D66" s="1260"/>
      <c r="E66" s="1246" t="str">
        <f>IF('0 Úvod'!$M$10="English",Slovnik!$D$227,Slovnik!$C$227)</f>
        <v>Auto, vlak</v>
      </c>
      <c r="F66" s="1247">
        <v>300.23</v>
      </c>
      <c r="G66" s="1248"/>
      <c r="H66" s="1249"/>
      <c r="I66" s="1165"/>
      <c r="J66" s="1165"/>
      <c r="K66" s="1263"/>
      <c r="L66" s="1255"/>
      <c r="M66" s="1259"/>
      <c r="N66" s="1256"/>
      <c r="O66" s="1262"/>
      <c r="P66" s="1165"/>
      <c r="Q66" s="1165"/>
      <c r="R66" s="1165"/>
      <c r="S66" s="1165"/>
      <c r="T66" s="1165"/>
    </row>
    <row r="67" spans="2:30" ht="14.25" x14ac:dyDescent="0.3">
      <c r="B67" s="2027"/>
      <c r="C67" s="2029" t="str">
        <f>IF('0 Úvod'!$M$10="English",Slovnik!$D$224,Slovnik!$C$224)</f>
        <v>Ostatní - krátká vzdálenost</v>
      </c>
      <c r="D67" s="1258"/>
      <c r="E67" s="1246" t="str">
        <f>IF('0 Úvod'!$M$10="English",Slovnik!$D$226,Slovnik!$C$226)</f>
        <v>Bus</v>
      </c>
      <c r="F67" s="1247">
        <v>140.76</v>
      </c>
      <c r="G67" s="1248"/>
      <c r="H67" s="1249"/>
      <c r="I67" s="1165"/>
      <c r="J67" s="1165"/>
      <c r="K67" s="1165"/>
      <c r="L67" s="1255"/>
      <c r="M67" s="1256"/>
      <c r="N67" s="1259"/>
      <c r="O67" s="1257"/>
      <c r="P67" s="1165"/>
      <c r="Q67" s="1165"/>
      <c r="R67" s="1165"/>
      <c r="S67" s="1165"/>
      <c r="T67" s="1165"/>
    </row>
    <row r="68" spans="2:30" ht="14.25" x14ac:dyDescent="0.3">
      <c r="B68" s="2027"/>
      <c r="C68" s="2030"/>
      <c r="D68" s="1260"/>
      <c r="E68" s="1246" t="str">
        <f>IF('0 Úvod'!$M$10="English",Slovnik!$D$227,Slovnik!$C$227)</f>
        <v>Auto, vlak</v>
      </c>
      <c r="F68" s="1247">
        <v>196.08</v>
      </c>
      <c r="G68" s="1248"/>
      <c r="H68" s="1249"/>
      <c r="I68" s="1165"/>
      <c r="J68" s="1165"/>
      <c r="K68" s="1165"/>
      <c r="L68" s="1261"/>
      <c r="M68" s="1256"/>
      <c r="N68" s="1256"/>
      <c r="O68" s="1262"/>
      <c r="P68" s="1165"/>
      <c r="Q68" s="1165"/>
      <c r="R68" s="1165"/>
      <c r="S68" s="1165"/>
      <c r="T68" s="1165"/>
    </row>
    <row r="69" spans="2:30" ht="14.25" x14ac:dyDescent="0.3">
      <c r="B69" s="2027"/>
      <c r="C69" s="2029" t="str">
        <f>IF('0 Úvod'!$M$10="English",Slovnik!$D$225,Slovnik!$C$225)</f>
        <v>Ostatní - dlouhá vzdálenost</v>
      </c>
      <c r="D69" s="1258"/>
      <c r="E69" s="1246" t="str">
        <f>IF('0 Úvod'!$M$10="English",Slovnik!$D$226,Slovnik!$C$226)</f>
        <v>Bus</v>
      </c>
      <c r="F69" s="1247">
        <v>181.03</v>
      </c>
      <c r="G69" s="1248"/>
      <c r="H69" s="1249"/>
      <c r="I69" s="1165"/>
      <c r="J69" s="1165"/>
      <c r="K69" s="1165"/>
      <c r="L69" s="1255"/>
      <c r="M69" s="1256"/>
      <c r="N69" s="1259"/>
      <c r="O69" s="1257"/>
      <c r="P69" s="1165"/>
      <c r="Q69" s="1165"/>
      <c r="R69" s="1165"/>
      <c r="S69" s="1165"/>
      <c r="T69" s="1165"/>
    </row>
    <row r="70" spans="2:30" ht="15" thickBot="1" x14ac:dyDescent="0.35">
      <c r="B70" s="2028"/>
      <c r="C70" s="2031"/>
      <c r="D70" s="1264"/>
      <c r="E70" s="1265" t="str">
        <f>IF('0 Úvod'!$M$10="English",Slovnik!$D$227,Slovnik!$C$227)</f>
        <v>Auto, vlak</v>
      </c>
      <c r="F70" s="1266">
        <v>251.41</v>
      </c>
      <c r="G70" s="1248"/>
      <c r="H70" s="1249"/>
      <c r="I70" s="1165"/>
      <c r="J70" s="1165"/>
      <c r="K70" s="1165"/>
      <c r="L70" s="1267"/>
      <c r="M70" s="1268"/>
      <c r="N70" s="1269"/>
      <c r="O70" s="1270"/>
      <c r="P70" s="1165"/>
      <c r="Q70" s="1165"/>
      <c r="R70" s="1165"/>
      <c r="S70" s="1165"/>
      <c r="T70" s="1165"/>
    </row>
    <row r="71" spans="2:30" ht="13.15" customHeight="1" x14ac:dyDescent="0.3">
      <c r="B71" s="2007" t="str">
        <f>IF('0 Úvod'!$M$10="English",Slovnik!$D$230,Slovnik!$C$230)</f>
        <v>Nákladní doprava</v>
      </c>
      <c r="C71" s="2008"/>
      <c r="D71" s="2008"/>
      <c r="E71" s="2009"/>
      <c r="F71" s="1241" t="str">
        <f>IF('0 Úvod'!$M$10="English",Slovnik!$D$238,Slovnik!$C$238)</f>
        <v>CZK/thod</v>
      </c>
      <c r="G71" s="1241" t="str">
        <f>IF('0 Úvod'!$M$10="English",Slovnik!$D$238,Slovnik!$C$238)</f>
        <v>CZK/thod</v>
      </c>
      <c r="H71" s="1249"/>
      <c r="I71" s="1165"/>
      <c r="J71" s="1165"/>
      <c r="K71" s="1165"/>
      <c r="L71" s="1271"/>
      <c r="M71" s="1272"/>
      <c r="N71" s="1272"/>
      <c r="O71" s="1273"/>
      <c r="P71" s="1165"/>
      <c r="Q71" s="1165"/>
      <c r="R71" s="1165"/>
      <c r="S71" s="1165"/>
      <c r="T71" s="1165"/>
    </row>
    <row r="72" spans="2:30" ht="15" thickBot="1" x14ac:dyDescent="0.35">
      <c r="B72" s="2010" t="str">
        <f>IF('0 Úvod'!$M$10="English",Slovnik!$D$231,Slovnik!$C$231)</f>
        <v>Dle dopravního módu</v>
      </c>
      <c r="C72" s="2011"/>
      <c r="D72" s="1245"/>
      <c r="E72" s="1274" t="str">
        <f>IF('0 Úvod'!$M$10="English",Slovnik!D233,Slovnik!C233)</f>
        <v>Silnice</v>
      </c>
      <c r="F72" s="1247">
        <v>86.66</v>
      </c>
      <c r="G72" s="1248"/>
      <c r="H72" s="1249"/>
      <c r="I72" s="1165"/>
      <c r="J72" s="1165"/>
      <c r="K72" s="1165"/>
      <c r="L72" s="1275">
        <f>SUMPRODUCT($G$61:$G$70,L61:L70)</f>
        <v>0</v>
      </c>
      <c r="M72" s="1276">
        <f>SUMPRODUCT($G$61:$G$70,M61:M70)</f>
        <v>0</v>
      </c>
      <c r="N72" s="1276">
        <f>SUMPRODUCT($G$61:$G$70,N61:N70)</f>
        <v>313.73223411023042</v>
      </c>
      <c r="O72" s="1277">
        <f>SUMPRODUCT($G$61:$G$70,O61:O70)</f>
        <v>0</v>
      </c>
      <c r="P72" s="1165"/>
      <c r="Q72" s="1165"/>
      <c r="R72" s="1165"/>
      <c r="S72" s="1165"/>
      <c r="T72" s="1165"/>
    </row>
    <row r="73" spans="2:30" ht="15" customHeight="1" x14ac:dyDescent="0.3">
      <c r="B73" s="2012"/>
      <c r="C73" s="2013"/>
      <c r="D73" s="1278"/>
      <c r="E73" s="1279" t="str">
        <f>IF('0 Úvod'!$M$10="English",Slovnik!D234,Slovnik!C234)</f>
        <v>Železnice</v>
      </c>
      <c r="F73" s="1266">
        <v>35.340000000000003</v>
      </c>
      <c r="G73" s="1248"/>
      <c r="H73" s="1249"/>
      <c r="I73" s="1165"/>
      <c r="J73" s="1165"/>
      <c r="K73" s="1165"/>
      <c r="L73" s="1165"/>
      <c r="M73" s="1165"/>
      <c r="N73" s="1165"/>
      <c r="O73" s="1165"/>
      <c r="P73" s="1165"/>
      <c r="Q73" s="1165"/>
      <c r="R73" s="1165"/>
      <c r="S73" s="1165"/>
      <c r="T73" s="1165"/>
    </row>
    <row r="74" spans="2:30" ht="29.25" customHeight="1" x14ac:dyDescent="0.3">
      <c r="B74" s="2010" t="str">
        <f>IF('0 Úvod'!$M$10="English",Slovnik!$D$232,Slovnik!$C$232)</f>
        <v>Dle přepravovaných komodit</v>
      </c>
      <c r="C74" s="2011"/>
      <c r="D74" s="1245"/>
      <c r="E74" s="1280" t="str">
        <f>IF('0 Úvod'!$M$10="English",Slovnik!D235,Slovnik!C235)</f>
        <v>Nízká přidaná hodnota</v>
      </c>
      <c r="F74" s="1281">
        <v>0.31</v>
      </c>
      <c r="G74" s="1248"/>
      <c r="H74" s="1249"/>
      <c r="I74" s="1165"/>
      <c r="J74" s="1165"/>
      <c r="K74" s="1165"/>
      <c r="L74" s="1165"/>
      <c r="M74" s="1165"/>
      <c r="N74" s="1165"/>
      <c r="O74" s="1165"/>
      <c r="P74" s="1165"/>
      <c r="Q74" s="1165"/>
      <c r="R74" s="1165"/>
      <c r="S74" s="1165"/>
      <c r="T74" s="1165"/>
    </row>
    <row r="75" spans="2:30" ht="15" customHeight="1" x14ac:dyDescent="0.3">
      <c r="B75" s="2012"/>
      <c r="C75" s="2013"/>
      <c r="D75" s="1278"/>
      <c r="E75" s="1282" t="str">
        <f>IF('0 Úvod'!$M$10="English",Slovnik!D236,Slovnik!C236)</f>
        <v>Běžný náklad</v>
      </c>
      <c r="F75" s="1283">
        <v>6.13</v>
      </c>
      <c r="G75" s="1248"/>
      <c r="H75" s="1249"/>
      <c r="I75" s="1165"/>
      <c r="J75" s="1165"/>
      <c r="K75" s="1165"/>
      <c r="L75" s="1165"/>
      <c r="M75" s="1165"/>
      <c r="N75" s="1165"/>
      <c r="O75" s="1165"/>
      <c r="P75" s="1165"/>
      <c r="Q75" s="1165"/>
      <c r="R75" s="1165"/>
      <c r="S75" s="1165"/>
      <c r="T75" s="1165"/>
    </row>
    <row r="76" spans="2:30" ht="45" customHeight="1" thickBot="1" x14ac:dyDescent="0.35">
      <c r="B76" s="2014"/>
      <c r="C76" s="2015"/>
      <c r="D76" s="1284"/>
      <c r="E76" s="1285" t="str">
        <f>IF('0 Úvod'!$M$10="English",Slovnik!D237,Slovnik!C237)</f>
        <v>Vysoká přidaná hodnota</v>
      </c>
      <c r="F76" s="1286">
        <v>18.39</v>
      </c>
      <c r="G76" s="1248"/>
      <c r="H76" s="1249"/>
      <c r="I76" s="1165"/>
      <c r="J76" s="1165"/>
      <c r="K76" s="1165"/>
      <c r="L76" s="1165"/>
      <c r="M76" s="1165"/>
      <c r="N76" s="1165"/>
      <c r="O76" s="1165"/>
      <c r="P76" s="1165"/>
      <c r="Q76" s="1165"/>
      <c r="R76" s="1165"/>
      <c r="S76" s="1165"/>
      <c r="T76" s="1165"/>
    </row>
    <row r="77" spans="2:30" ht="45" hidden="1" customHeight="1" thickBot="1" x14ac:dyDescent="0.35">
      <c r="B77" s="1278"/>
      <c r="C77" s="1278" t="s">
        <v>1407</v>
      </c>
      <c r="D77" s="1278"/>
      <c r="E77" s="1287"/>
      <c r="F77" s="1288"/>
      <c r="G77" s="1289">
        <f>IFERROR(HLOOKUP('8 Úspory času'!G59,'0 Úvod'!D90:M97,6,FALSE),1)</f>
        <v>1.5735470340920079</v>
      </c>
      <c r="H77" s="1165"/>
      <c r="I77" s="1165"/>
      <c r="J77" s="1165"/>
      <c r="K77" s="1165"/>
      <c r="L77" s="1165"/>
      <c r="M77" s="1165"/>
      <c r="N77" s="1165"/>
      <c r="O77" s="1165"/>
      <c r="P77" s="1165"/>
      <c r="Q77" s="1165"/>
      <c r="R77" s="1165"/>
      <c r="S77" s="1165"/>
      <c r="T77" s="1165"/>
    </row>
    <row r="78" spans="2:30" ht="15" customHeight="1" x14ac:dyDescent="0.3">
      <c r="B78" s="610" t="str">
        <f>IF('0 Úvod'!$M$10="English",Slovnik!$E$237,Slovnik!$E$236)</f>
        <v>Zdroj: "HEATCO" a „Rezortní metodika pro hodnocení ekonomické efektivnosti projektů dopravních staveb", 2017</v>
      </c>
      <c r="C78" s="1290"/>
      <c r="D78" s="1290"/>
      <c r="E78" s="1290"/>
      <c r="F78" s="1290"/>
      <c r="G78" s="386"/>
      <c r="H78" s="1165"/>
      <c r="I78" s="1165"/>
      <c r="J78" s="1165"/>
      <c r="K78" s="1165"/>
      <c r="L78" s="1165"/>
      <c r="M78" s="1165"/>
      <c r="N78" s="1165"/>
      <c r="O78" s="1165"/>
      <c r="P78" s="1165"/>
      <c r="Q78" s="1165"/>
      <c r="R78" s="1165"/>
      <c r="S78" s="1165"/>
      <c r="T78" s="1165"/>
    </row>
    <row r="79" spans="2:30" ht="14.25" thickBot="1" x14ac:dyDescent="0.35">
      <c r="B79" s="1165"/>
      <c r="C79" s="1165"/>
      <c r="D79" s="1165"/>
      <c r="E79" s="1165"/>
      <c r="F79" s="1165"/>
      <c r="G79" s="1165"/>
      <c r="H79" s="1165"/>
      <c r="I79" s="1165"/>
      <c r="J79" s="1165"/>
      <c r="K79" s="1165"/>
      <c r="L79" s="1165"/>
      <c r="M79" s="1165"/>
      <c r="N79" s="1165"/>
      <c r="O79" s="1165"/>
      <c r="P79" s="1165"/>
      <c r="Q79" s="1165"/>
      <c r="R79" s="1165"/>
      <c r="S79" s="1165"/>
      <c r="T79" s="1165"/>
    </row>
    <row r="80" spans="2:30" ht="15" thickBot="1" x14ac:dyDescent="0.35">
      <c r="B80" s="1291" t="s">
        <v>1443</v>
      </c>
      <c r="C80" s="1292" t="str">
        <f>IF('0 Úvod'!$M$10="English",Slovnik!$D$261,Slovnik!$C$261)</f>
        <v>Změna měrných hodnot času</v>
      </c>
      <c r="D80" s="1292"/>
      <c r="E80" s="1293"/>
      <c r="F80" s="1996">
        <f>F38</f>
        <v>2026</v>
      </c>
      <c r="G80" s="1996">
        <f t="shared" ref="G80:T80" si="33">F80+1</f>
        <v>2027</v>
      </c>
      <c r="H80" s="1996">
        <f t="shared" si="33"/>
        <v>2028</v>
      </c>
      <c r="I80" s="1996">
        <f t="shared" si="33"/>
        <v>2029</v>
      </c>
      <c r="J80" s="1996">
        <f t="shared" si="33"/>
        <v>2030</v>
      </c>
      <c r="K80" s="1996">
        <f t="shared" si="33"/>
        <v>2031</v>
      </c>
      <c r="L80" s="1996">
        <f t="shared" si="33"/>
        <v>2032</v>
      </c>
      <c r="M80" s="1996">
        <f t="shared" si="33"/>
        <v>2033</v>
      </c>
      <c r="N80" s="1996">
        <f t="shared" si="33"/>
        <v>2034</v>
      </c>
      <c r="O80" s="1996">
        <f t="shared" si="33"/>
        <v>2035</v>
      </c>
      <c r="P80" s="1996">
        <f t="shared" si="33"/>
        <v>2036</v>
      </c>
      <c r="Q80" s="1996">
        <f t="shared" si="33"/>
        <v>2037</v>
      </c>
      <c r="R80" s="1996">
        <f t="shared" si="33"/>
        <v>2038</v>
      </c>
      <c r="S80" s="1996">
        <f t="shared" si="33"/>
        <v>2039</v>
      </c>
      <c r="T80" s="2022">
        <f t="shared" si="33"/>
        <v>2040</v>
      </c>
      <c r="U80" s="247"/>
      <c r="V80" s="247"/>
      <c r="W80" s="247"/>
      <c r="X80" s="247"/>
      <c r="Y80" s="247"/>
      <c r="Z80" s="247"/>
      <c r="AA80" s="247"/>
      <c r="AB80" s="247"/>
      <c r="AC80" s="247"/>
      <c r="AD80" s="247"/>
    </row>
    <row r="81" spans="2:30" ht="15" thickBot="1" x14ac:dyDescent="0.35">
      <c r="B81" s="1294" t="s">
        <v>4</v>
      </c>
      <c r="C81" s="1295"/>
      <c r="D81" s="1295"/>
      <c r="E81" s="1296" t="str">
        <f>IF('0 Úvod'!$M$10="English",Slovnik!$D$265,Slovnik!$C$265)</f>
        <v>Elasticita</v>
      </c>
      <c r="F81" s="1997"/>
      <c r="G81" s="1997"/>
      <c r="H81" s="1997"/>
      <c r="I81" s="1997"/>
      <c r="J81" s="1997"/>
      <c r="K81" s="1997"/>
      <c r="L81" s="1997"/>
      <c r="M81" s="1997"/>
      <c r="N81" s="1997"/>
      <c r="O81" s="1997"/>
      <c r="P81" s="1997"/>
      <c r="Q81" s="1997"/>
      <c r="R81" s="1997"/>
      <c r="S81" s="1997"/>
      <c r="T81" s="2023"/>
      <c r="U81" s="247"/>
      <c r="V81" s="247"/>
      <c r="W81" s="247"/>
      <c r="X81" s="247"/>
      <c r="Y81" s="247"/>
      <c r="Z81" s="247"/>
      <c r="AA81" s="247"/>
      <c r="AB81" s="247"/>
      <c r="AC81" s="247"/>
      <c r="AD81" s="247"/>
    </row>
    <row r="82" spans="2:30" ht="15" thickBot="1" x14ac:dyDescent="0.35">
      <c r="B82" s="1297"/>
      <c r="C82" s="1298" t="str">
        <f>IF('0 Úvod'!$M$10="English",Slovnik!D262,Slovnik!C262)</f>
        <v>Hodnota růstu HDP na hlavu (resp. prognóza)</v>
      </c>
      <c r="D82" s="1186"/>
      <c r="E82" s="1299"/>
      <c r="F82" s="1300">
        <v>0</v>
      </c>
      <c r="G82" s="1301">
        <f>IF(HLOOKUP(G$80,'0 Úvod'!$D$56:$N$57,1,TRUE)=G$80,HLOOKUP(G$80,'0 Úvod'!$D$56:$N$57,2,TRUE),'0 Úvod'!$D$100)</f>
        <v>1.7100000000000001E-2</v>
      </c>
      <c r="H82" s="1301">
        <f>IF(HLOOKUP(H$80,'0 Úvod'!$D$56:$N$57,1,TRUE)=H$80,HLOOKUP(H$80,'0 Úvod'!$D$56:$N$57,2,TRUE),'0 Úvod'!$D$100)</f>
        <v>1.7100000000000001E-2</v>
      </c>
      <c r="I82" s="1301">
        <f>IF(HLOOKUP(I$80,'0 Úvod'!$D$56:$N$57,1,TRUE)=I$80,HLOOKUP(I$80,'0 Úvod'!$D$56:$N$57,2,TRUE),'0 Úvod'!$D$100)</f>
        <v>1.7100000000000001E-2</v>
      </c>
      <c r="J82" s="1301">
        <f>IF(HLOOKUP(J$80,'0 Úvod'!$D$56:$N$57,1,TRUE)=J$80,HLOOKUP(J$80,'0 Úvod'!$D$56:$N$57,2,TRUE),'0 Úvod'!$D$100)</f>
        <v>1.7100000000000001E-2</v>
      </c>
      <c r="K82" s="1301">
        <f>IF(HLOOKUP(K$80,'0 Úvod'!$D$56:$N$57,1,TRUE)=K$80,HLOOKUP(K$80,'0 Úvod'!$D$56:$N$57,2,TRUE),'0 Úvod'!$D$100)</f>
        <v>1.7100000000000001E-2</v>
      </c>
      <c r="L82" s="1301">
        <f>IF(HLOOKUP(L$80,'0 Úvod'!$D$56:$N$57,1,TRUE)=L$80,HLOOKUP(L$80,'0 Úvod'!$D$56:$N$57,2,TRUE),'0 Úvod'!$D$100)</f>
        <v>1.7100000000000001E-2</v>
      </c>
      <c r="M82" s="1301">
        <f>IF(HLOOKUP(M$80,'0 Úvod'!$D$56:$N$57,1,TRUE)=M$80,HLOOKUP(M$80,'0 Úvod'!$D$56:$N$57,2,TRUE),'0 Úvod'!$D$100)</f>
        <v>1.7100000000000001E-2</v>
      </c>
      <c r="N82" s="1301">
        <f>IF(HLOOKUP(N$80,'0 Úvod'!$D$56:$N$57,1,TRUE)=N$80,HLOOKUP(N$80,'0 Úvod'!$D$56:$N$57,2,TRUE),'0 Úvod'!$D$100)</f>
        <v>1.7100000000000001E-2</v>
      </c>
      <c r="O82" s="1301">
        <f>IF(HLOOKUP(O$80,'0 Úvod'!$D$56:$N$57,1,TRUE)=O$80,HLOOKUP(O$80,'0 Úvod'!$D$56:$N$57,2,TRUE),'0 Úvod'!$D$100)</f>
        <v>1.7100000000000001E-2</v>
      </c>
      <c r="P82" s="1301">
        <f>IF(HLOOKUP(P$80,'0 Úvod'!$D$56:$N$57,1,TRUE)=P$80,HLOOKUP(P$80,'0 Úvod'!$D$56:$N$57,2,TRUE),'0 Úvod'!$D$100)</f>
        <v>1.7100000000000001E-2</v>
      </c>
      <c r="Q82" s="1301">
        <f>IF(HLOOKUP(Q$80,'0 Úvod'!$D$56:$N$57,1,TRUE)=Q$80,HLOOKUP(Q$80,'0 Úvod'!$D$56:$N$57,2,TRUE),'0 Úvod'!$D$100)</f>
        <v>1.7100000000000001E-2</v>
      </c>
      <c r="R82" s="1301">
        <f>IF(HLOOKUP(R$80,'0 Úvod'!$D$56:$N$57,1,TRUE)=R$80,HLOOKUP(R$80,'0 Úvod'!$D$56:$N$57,2,TRUE),'0 Úvod'!$D$100)</f>
        <v>1.7100000000000001E-2</v>
      </c>
      <c r="S82" s="1301">
        <f>IF(HLOOKUP(S$80,'0 Úvod'!$D$56:$N$57,1,TRUE)=S$80,HLOOKUP(S$80,'0 Úvod'!$D$56:$N$57,2,TRUE),'0 Úvod'!$D$100)</f>
        <v>1.7100000000000001E-2</v>
      </c>
      <c r="T82" s="1327">
        <f>IF(HLOOKUP(T$80,'0 Úvod'!$D$56:$N$57,1,TRUE)=T$80,HLOOKUP(T$80,'0 Úvod'!$D$56:$N$57,2,TRUE),'0 Úvod'!$D$100)</f>
        <v>1.7100000000000001E-2</v>
      </c>
      <c r="U82" s="271"/>
      <c r="V82" s="267"/>
      <c r="W82" s="267"/>
      <c r="X82" s="267"/>
      <c r="Y82" s="267"/>
      <c r="Z82" s="267"/>
      <c r="AA82" s="267"/>
      <c r="AB82" s="267"/>
      <c r="AC82" s="267"/>
      <c r="AD82" s="267"/>
    </row>
    <row r="83" spans="2:30" ht="14.25" x14ac:dyDescent="0.3">
      <c r="B83" s="1302"/>
      <c r="C83" s="1186" t="str">
        <f>IF('0 Úvod'!$M$10="English",Slovnik!D263,Slovnik!C263)</f>
        <v>Výsledný růstový koef. - osobní (PRACOVNÍ čas) a nákladní doprava</v>
      </c>
      <c r="D83" s="1186"/>
      <c r="E83" s="1303">
        <v>0.5</v>
      </c>
      <c r="F83" s="1304">
        <v>1</v>
      </c>
      <c r="G83" s="1305">
        <f>F83*(1+G82*$E$83)</f>
        <v>1.0085500000000001</v>
      </c>
      <c r="H83" s="1305">
        <f t="shared" ref="H83:T83" si="34">G83*(1+H82*$E$83)</f>
        <v>1.0171731025000001</v>
      </c>
      <c r="I83" s="1305">
        <f t="shared" si="34"/>
        <v>1.0258699325263752</v>
      </c>
      <c r="J83" s="1305">
        <f t="shared" si="34"/>
        <v>1.0346411204494756</v>
      </c>
      <c r="K83" s="1305">
        <f t="shared" si="34"/>
        <v>1.0434873020293187</v>
      </c>
      <c r="L83" s="1305">
        <f t="shared" si="34"/>
        <v>1.0524091184616695</v>
      </c>
      <c r="M83" s="1305">
        <f t="shared" si="34"/>
        <v>1.0614072164245167</v>
      </c>
      <c r="N83" s="1305">
        <f t="shared" si="34"/>
        <v>1.0704822481249465</v>
      </c>
      <c r="O83" s="1305">
        <f t="shared" si="34"/>
        <v>1.0796348713464148</v>
      </c>
      <c r="P83" s="1305">
        <f t="shared" si="34"/>
        <v>1.0888657494964267</v>
      </c>
      <c r="Q83" s="1305">
        <f t="shared" si="34"/>
        <v>1.0981755516546212</v>
      </c>
      <c r="R83" s="1305">
        <f t="shared" si="34"/>
        <v>1.1075649526212683</v>
      </c>
      <c r="S83" s="1305">
        <f t="shared" si="34"/>
        <v>1.1170346329661802</v>
      </c>
      <c r="T83" s="1306">
        <f t="shared" si="34"/>
        <v>1.1265852790780411</v>
      </c>
      <c r="U83" s="271"/>
      <c r="V83" s="267"/>
      <c r="W83" s="267"/>
      <c r="X83" s="267"/>
      <c r="Y83" s="267"/>
      <c r="Z83" s="267"/>
      <c r="AA83" s="267"/>
      <c r="AB83" s="267"/>
      <c r="AC83" s="267"/>
      <c r="AD83" s="267"/>
    </row>
    <row r="84" spans="2:30" ht="14.25" x14ac:dyDescent="0.3">
      <c r="B84" s="1307"/>
      <c r="C84" s="1170" t="s">
        <v>1408</v>
      </c>
      <c r="D84" s="1170"/>
      <c r="E84" s="1308">
        <f>0.9*E85+0.1*E83</f>
        <v>0.41000000000000003</v>
      </c>
      <c r="F84" s="1309">
        <v>1</v>
      </c>
      <c r="G84" s="1310">
        <f>F84*(1+G82*$E$84)</f>
        <v>1.0070110000000001</v>
      </c>
      <c r="H84" s="1310">
        <f t="shared" ref="H84:T84" si="35">G84*(1+H82*$E$84)</f>
        <v>1.0140711541210001</v>
      </c>
      <c r="I84" s="1310">
        <f t="shared" si="35"/>
        <v>1.0211808069825425</v>
      </c>
      <c r="J84" s="1310">
        <f t="shared" si="35"/>
        <v>1.0283403056202973</v>
      </c>
      <c r="K84" s="1310">
        <f t="shared" si="35"/>
        <v>1.0355499995030013</v>
      </c>
      <c r="L84" s="1310">
        <f t="shared" si="35"/>
        <v>1.042810240549517</v>
      </c>
      <c r="M84" s="1310">
        <f t="shared" si="35"/>
        <v>1.0501213831460097</v>
      </c>
      <c r="N84" s="1310">
        <f t="shared" si="35"/>
        <v>1.0574837841632465</v>
      </c>
      <c r="O84" s="1310">
        <f t="shared" si="35"/>
        <v>1.064897802974015</v>
      </c>
      <c r="P84" s="1310">
        <f t="shared" si="35"/>
        <v>1.072363801470666</v>
      </c>
      <c r="Q84" s="1310">
        <f t="shared" si="35"/>
        <v>1.0798821440827771</v>
      </c>
      <c r="R84" s="1310">
        <f t="shared" si="35"/>
        <v>1.0874531977949415</v>
      </c>
      <c r="S84" s="1310">
        <f t="shared" si="35"/>
        <v>1.0950773321646821</v>
      </c>
      <c r="T84" s="1311">
        <f t="shared" si="35"/>
        <v>1.1027549193404889</v>
      </c>
      <c r="U84" s="271"/>
      <c r="V84" s="267"/>
      <c r="W84" s="267"/>
      <c r="X84" s="267"/>
      <c r="Y84" s="267"/>
      <c r="Z84" s="267"/>
      <c r="AA84" s="267"/>
      <c r="AB84" s="267"/>
      <c r="AC84" s="267"/>
      <c r="AD84" s="267"/>
    </row>
    <row r="85" spans="2:30" ht="15" thickBot="1" x14ac:dyDescent="0.35">
      <c r="B85" s="1312"/>
      <c r="C85" s="1313" t="str">
        <f>IF('0 Úvod'!$M$10="English",Slovnik!D264,Slovnik!C264)</f>
        <v>Výsledný růstový koef. - osobní (NEPRACOVNÍ čas) doprava</v>
      </c>
      <c r="D85" s="1313"/>
      <c r="E85" s="1314">
        <v>0.4</v>
      </c>
      <c r="F85" s="1315">
        <v>1</v>
      </c>
      <c r="G85" s="1316">
        <f>F85*(1+G82*$E$85)</f>
        <v>1.00684</v>
      </c>
      <c r="H85" s="1316">
        <f t="shared" ref="H85:T85" si="36">G85*(1+H82*$E$85)</f>
        <v>1.0137267855999998</v>
      </c>
      <c r="I85" s="1316">
        <f t="shared" si="36"/>
        <v>1.0206606768135038</v>
      </c>
      <c r="J85" s="1316">
        <f t="shared" si="36"/>
        <v>1.0276419958429082</v>
      </c>
      <c r="K85" s="1316">
        <f t="shared" si="36"/>
        <v>1.0346710670944737</v>
      </c>
      <c r="L85" s="1316">
        <f t="shared" si="36"/>
        <v>1.0417482171933998</v>
      </c>
      <c r="M85" s="1316">
        <f t="shared" si="36"/>
        <v>1.0488737749990027</v>
      </c>
      <c r="N85" s="1316">
        <f t="shared" si="36"/>
        <v>1.0560480716199958</v>
      </c>
      <c r="O85" s="1316">
        <f t="shared" si="36"/>
        <v>1.0632714404298766</v>
      </c>
      <c r="P85" s="1316">
        <f t="shared" si="36"/>
        <v>1.0705442170824169</v>
      </c>
      <c r="Q85" s="1316">
        <f t="shared" si="36"/>
        <v>1.0778667395272605</v>
      </c>
      <c r="R85" s="1316">
        <f t="shared" si="36"/>
        <v>1.085239348025627</v>
      </c>
      <c r="S85" s="1316">
        <f t="shared" si="36"/>
        <v>1.0926623851661224</v>
      </c>
      <c r="T85" s="1317">
        <f t="shared" si="36"/>
        <v>1.1001361958806586</v>
      </c>
      <c r="U85" s="268"/>
      <c r="V85" s="268"/>
      <c r="W85" s="268"/>
      <c r="X85" s="268"/>
      <c r="Y85" s="268"/>
      <c r="Z85" s="268"/>
      <c r="AA85" s="268"/>
      <c r="AB85" s="268"/>
      <c r="AC85" s="268"/>
      <c r="AD85" s="268"/>
    </row>
    <row r="86" spans="2:30" ht="14.25" thickBot="1" x14ac:dyDescent="0.35">
      <c r="B86" s="1165"/>
      <c r="C86" s="1165"/>
      <c r="D86" s="1165"/>
      <c r="E86" s="1165"/>
      <c r="F86" s="1165"/>
      <c r="G86" s="1165"/>
      <c r="H86" s="1165"/>
      <c r="I86" s="1165"/>
      <c r="J86" s="1165"/>
      <c r="K86" s="1165"/>
      <c r="L86" s="1165"/>
      <c r="M86" s="1165"/>
      <c r="N86" s="1165"/>
      <c r="O86" s="1165"/>
      <c r="P86" s="1165"/>
      <c r="Q86" s="1165"/>
      <c r="R86" s="1165"/>
      <c r="S86" s="1165"/>
      <c r="T86" s="1165"/>
    </row>
    <row r="87" spans="2:30" ht="14.25" x14ac:dyDescent="0.3">
      <c r="B87" s="1318" t="str">
        <f>B80</f>
        <v>8.6.</v>
      </c>
      <c r="C87" s="1319" t="str">
        <f>C80</f>
        <v>Změna měrných hodnot času</v>
      </c>
      <c r="D87" s="1320"/>
      <c r="E87" s="1321"/>
      <c r="F87" s="2024">
        <f>T80+1</f>
        <v>2041</v>
      </c>
      <c r="G87" s="1996">
        <f t="shared" ref="G87:T87" si="37">F87+1</f>
        <v>2042</v>
      </c>
      <c r="H87" s="1996">
        <f t="shared" si="37"/>
        <v>2043</v>
      </c>
      <c r="I87" s="1996">
        <f t="shared" si="37"/>
        <v>2044</v>
      </c>
      <c r="J87" s="1996">
        <f t="shared" si="37"/>
        <v>2045</v>
      </c>
      <c r="K87" s="1996">
        <f t="shared" si="37"/>
        <v>2046</v>
      </c>
      <c r="L87" s="1996">
        <f t="shared" si="37"/>
        <v>2047</v>
      </c>
      <c r="M87" s="1996">
        <f t="shared" si="37"/>
        <v>2048</v>
      </c>
      <c r="N87" s="1996">
        <f t="shared" si="37"/>
        <v>2049</v>
      </c>
      <c r="O87" s="1996">
        <f t="shared" si="37"/>
        <v>2050</v>
      </c>
      <c r="P87" s="1996">
        <f t="shared" si="37"/>
        <v>2051</v>
      </c>
      <c r="Q87" s="1996">
        <f t="shared" si="37"/>
        <v>2052</v>
      </c>
      <c r="R87" s="1996">
        <f t="shared" si="37"/>
        <v>2053</v>
      </c>
      <c r="S87" s="1996">
        <f t="shared" si="37"/>
        <v>2054</v>
      </c>
      <c r="T87" s="2022">
        <f t="shared" si="37"/>
        <v>2055</v>
      </c>
      <c r="U87" s="247"/>
      <c r="V87" s="247"/>
      <c r="W87" s="247"/>
      <c r="X87" s="247"/>
      <c r="Y87" s="247"/>
      <c r="Z87" s="247"/>
      <c r="AA87" s="247"/>
      <c r="AB87" s="247"/>
      <c r="AC87" s="247"/>
      <c r="AD87" s="247"/>
    </row>
    <row r="88" spans="2:30" ht="15" thickBot="1" x14ac:dyDescent="0.35">
      <c r="B88" s="1322" t="s">
        <v>5</v>
      </c>
      <c r="C88" s="1323"/>
      <c r="D88" s="1295"/>
      <c r="E88" s="1324"/>
      <c r="F88" s="2025"/>
      <c r="G88" s="1997"/>
      <c r="H88" s="1997"/>
      <c r="I88" s="1997"/>
      <c r="J88" s="1997"/>
      <c r="K88" s="1997"/>
      <c r="L88" s="1997"/>
      <c r="M88" s="1997"/>
      <c r="N88" s="1997"/>
      <c r="O88" s="1997"/>
      <c r="P88" s="1997"/>
      <c r="Q88" s="1997"/>
      <c r="R88" s="1997"/>
      <c r="S88" s="1997"/>
      <c r="T88" s="2023"/>
      <c r="U88" s="247"/>
      <c r="V88" s="247"/>
      <c r="W88" s="247"/>
      <c r="X88" s="247"/>
      <c r="Y88" s="247"/>
      <c r="Z88" s="247"/>
      <c r="AA88" s="247"/>
      <c r="AB88" s="247"/>
      <c r="AC88" s="247"/>
      <c r="AD88" s="247"/>
    </row>
    <row r="89" spans="2:30" ht="15" thickBot="1" x14ac:dyDescent="0.35">
      <c r="B89" s="1302"/>
      <c r="C89" s="1186" t="str">
        <f>C82</f>
        <v>Hodnota růstu HDP na hlavu (resp. prognóza)</v>
      </c>
      <c r="D89" s="1186"/>
      <c r="E89" s="1325"/>
      <c r="F89" s="1326">
        <f>IF(HLOOKUP(F$87,'0 Úvod'!$D$56:$N$57,1,TRUE)=F$87,HLOOKUP(F$87,'0 Úvod'!$D$56:$N$57,2,TRUE),'0 Úvod'!$D$100)</f>
        <v>1.7100000000000001E-2</v>
      </c>
      <c r="G89" s="1326">
        <f>IF(HLOOKUP(G$87,'0 Úvod'!$D$56:$N$57,1,TRUE)=G$87,HLOOKUP(G$87,'0 Úvod'!$D$56:$N$57,2,TRUE),'0 Úvod'!$D$100)</f>
        <v>1.7100000000000001E-2</v>
      </c>
      <c r="H89" s="1326">
        <f>IF(HLOOKUP(H$87,'0 Úvod'!$D$56:$N$57,1,TRUE)=H$87,HLOOKUP(H$87,'0 Úvod'!$D$56:$N$57,2,TRUE),'0 Úvod'!$D$100)</f>
        <v>1.7100000000000001E-2</v>
      </c>
      <c r="I89" s="1326">
        <f>IF(HLOOKUP(I$87,'0 Úvod'!$D$56:$N$57,1,TRUE)=I$87,HLOOKUP(I$87,'0 Úvod'!$D$56:$N$57,2,TRUE),'0 Úvod'!$D$100)</f>
        <v>1.7100000000000001E-2</v>
      </c>
      <c r="J89" s="1326">
        <f>IF(HLOOKUP(J$87,'0 Úvod'!$D$56:$N$57,1,TRUE)=J$87,HLOOKUP(J$87,'0 Úvod'!$D$56:$N$57,2,TRUE),'0 Úvod'!$D$100)</f>
        <v>1.7100000000000001E-2</v>
      </c>
      <c r="K89" s="1326">
        <f>IF(HLOOKUP(K$87,'0 Úvod'!$D$56:$N$57,1,TRUE)=K$87,HLOOKUP(K$87,'0 Úvod'!$D$56:$N$57,2,TRUE),'0 Úvod'!$D$100)</f>
        <v>1.7100000000000001E-2</v>
      </c>
      <c r="L89" s="1326">
        <f>IF(HLOOKUP(L$87,'0 Úvod'!$D$56:$N$57,1,TRUE)=L$87,HLOOKUP(L$87,'0 Úvod'!$D$56:$N$57,2,TRUE),'0 Úvod'!$D$100)</f>
        <v>1.7100000000000001E-2</v>
      </c>
      <c r="M89" s="1326">
        <f>IF(HLOOKUP(M$87,'0 Úvod'!$D$56:$N$57,1,TRUE)=M$87,HLOOKUP(M$87,'0 Úvod'!$D$56:$N$57,2,TRUE),'0 Úvod'!$D$100)</f>
        <v>1.7100000000000001E-2</v>
      </c>
      <c r="N89" s="1326">
        <f>IF(HLOOKUP(N$87,'0 Úvod'!$D$56:$N$57,1,TRUE)=N$87,HLOOKUP(N$87,'0 Úvod'!$D$56:$N$57,2,TRUE),'0 Úvod'!$D$100)</f>
        <v>1.7100000000000001E-2</v>
      </c>
      <c r="O89" s="1326">
        <f>IF(HLOOKUP(O$87,'0 Úvod'!$D$56:$N$57,1,TRUE)=O$87,HLOOKUP(O$87,'0 Úvod'!$D$56:$N$57,2,TRUE),'0 Úvod'!$D$100)</f>
        <v>1.7100000000000001E-2</v>
      </c>
      <c r="P89" s="1326">
        <f>IF(HLOOKUP(P$87,'0 Úvod'!$D$56:$N$57,1,TRUE)=P$87,HLOOKUP(P$87,'0 Úvod'!$D$56:$N$57,2,TRUE),'0 Úvod'!$D$100)</f>
        <v>1.7100000000000001E-2</v>
      </c>
      <c r="Q89" s="1326">
        <f>IF(HLOOKUP(Q$87,'0 Úvod'!$D$56:$N$57,1,TRUE)=Q$87,HLOOKUP(Q$87,'0 Úvod'!$D$56:$N$57,2,TRUE),'0 Úvod'!$D$100)</f>
        <v>1.7100000000000001E-2</v>
      </c>
      <c r="R89" s="1326">
        <f>IF(HLOOKUP(R$87,'0 Úvod'!$D$56:$N$57,1,TRUE)=R$87,HLOOKUP(R$87,'0 Úvod'!$D$56:$N$57,2,TRUE),'0 Úvod'!$D$100)</f>
        <v>1.7100000000000001E-2</v>
      </c>
      <c r="S89" s="1326">
        <f>IF(HLOOKUP(S$87,'0 Úvod'!$D$56:$N$57,1,TRUE)=S$87,HLOOKUP(S$87,'0 Úvod'!$D$56:$N$57,2,TRUE),'0 Úvod'!$D$100)</f>
        <v>1.7100000000000001E-2</v>
      </c>
      <c r="T89" s="1327">
        <f>IF(HLOOKUP(T$87,'0 Úvod'!$D$56:$N$57,1,TRUE)=T$87,HLOOKUP(T$87,'0 Úvod'!$D$56:$N$57,2,TRUE),'0 Úvod'!$D$100)</f>
        <v>1.7100000000000001E-2</v>
      </c>
      <c r="U89" s="267"/>
      <c r="V89" s="267"/>
      <c r="W89" s="267"/>
      <c r="X89" s="267"/>
      <c r="Y89" s="267"/>
      <c r="Z89" s="267"/>
      <c r="AA89" s="267"/>
      <c r="AB89" s="267"/>
      <c r="AC89" s="267"/>
      <c r="AD89" s="267"/>
    </row>
    <row r="90" spans="2:30" ht="14.25" x14ac:dyDescent="0.3">
      <c r="B90" s="1302"/>
      <c r="C90" s="1186" t="str">
        <f>C83</f>
        <v>Výsledný růstový koef. - osobní (PRACOVNÍ čas) a nákladní doprava</v>
      </c>
      <c r="D90" s="1186"/>
      <c r="E90" s="1325"/>
      <c r="F90" s="1328">
        <f>T83*(1+F89*$E$83)</f>
        <v>1.1362175832141583</v>
      </c>
      <c r="G90" s="1328">
        <f>F90*(1+G89*$E$83)</f>
        <v>1.1459322435506394</v>
      </c>
      <c r="H90" s="1328">
        <f t="shared" ref="H90:T90" si="38">G90*(1+H89*$E$83)</f>
        <v>1.1557299642329975</v>
      </c>
      <c r="I90" s="1328">
        <f t="shared" si="38"/>
        <v>1.1656114554271897</v>
      </c>
      <c r="J90" s="1328">
        <f t="shared" si="38"/>
        <v>1.1755774333710922</v>
      </c>
      <c r="K90" s="1328">
        <f t="shared" si="38"/>
        <v>1.185628620426415</v>
      </c>
      <c r="L90" s="1328">
        <f t="shared" si="38"/>
        <v>1.195765745131061</v>
      </c>
      <c r="M90" s="1328">
        <f t="shared" si="38"/>
        <v>1.2059895422519318</v>
      </c>
      <c r="N90" s="1328">
        <f t="shared" si="38"/>
        <v>1.216300752838186</v>
      </c>
      <c r="O90" s="1328">
        <f t="shared" si="38"/>
        <v>1.2267001242749525</v>
      </c>
      <c r="P90" s="1328">
        <f t="shared" si="38"/>
        <v>1.2371884103375033</v>
      </c>
      <c r="Q90" s="1328">
        <f t="shared" si="38"/>
        <v>1.2477663712458891</v>
      </c>
      <c r="R90" s="1328">
        <f t="shared" si="38"/>
        <v>1.2584347737200414</v>
      </c>
      <c r="S90" s="1328">
        <f t="shared" si="38"/>
        <v>1.2691943910353478</v>
      </c>
      <c r="T90" s="1329">
        <f t="shared" si="38"/>
        <v>1.2800460030787002</v>
      </c>
      <c r="U90" s="267"/>
      <c r="V90" s="267"/>
      <c r="W90" s="267"/>
      <c r="X90" s="267"/>
      <c r="Y90" s="267"/>
      <c r="Z90" s="267"/>
      <c r="AA90" s="267"/>
      <c r="AB90" s="267"/>
      <c r="AC90" s="267"/>
      <c r="AD90" s="267"/>
    </row>
    <row r="91" spans="2:30" ht="14.25" x14ac:dyDescent="0.3">
      <c r="B91" s="1307"/>
      <c r="C91" s="1170" t="s">
        <v>1408</v>
      </c>
      <c r="D91" s="1170"/>
      <c r="E91" s="1330"/>
      <c r="F91" s="1310">
        <f>T84*(1+F89*$E$84)</f>
        <v>1.1104863340799851</v>
      </c>
      <c r="G91" s="1310">
        <f>F91*(1+G89*$E$84)</f>
        <v>1.11827195376822</v>
      </c>
      <c r="H91" s="1310">
        <f t="shared" ref="H91:T91" si="39">G91*(1+H89*$E$84)</f>
        <v>1.1261121584360891</v>
      </c>
      <c r="I91" s="1310">
        <f t="shared" si="39"/>
        <v>1.1340073307788847</v>
      </c>
      <c r="J91" s="1310">
        <f t="shared" si="39"/>
        <v>1.1419578561749757</v>
      </c>
      <c r="K91" s="1310">
        <f t="shared" si="39"/>
        <v>1.1499641227046187</v>
      </c>
      <c r="L91" s="1310">
        <f t="shared" si="39"/>
        <v>1.1580265211689009</v>
      </c>
      <c r="M91" s="1310">
        <f t="shared" si="39"/>
        <v>1.1661454451088162</v>
      </c>
      <c r="N91" s="1310">
        <f t="shared" si="39"/>
        <v>1.1743212908244742</v>
      </c>
      <c r="O91" s="1310">
        <f t="shared" si="39"/>
        <v>1.1825544573944446</v>
      </c>
      <c r="P91" s="1310">
        <f t="shared" si="39"/>
        <v>1.1908453466952371</v>
      </c>
      <c r="Q91" s="1310">
        <f t="shared" si="39"/>
        <v>1.1991943634209175</v>
      </c>
      <c r="R91" s="1310">
        <f t="shared" si="39"/>
        <v>1.2076019151028616</v>
      </c>
      <c r="S91" s="1310">
        <f t="shared" si="39"/>
        <v>1.2160684121296479</v>
      </c>
      <c r="T91" s="1311">
        <f t="shared" si="39"/>
        <v>1.2245942677670889</v>
      </c>
      <c r="U91" s="267"/>
      <c r="V91" s="267"/>
      <c r="W91" s="267"/>
      <c r="X91" s="267"/>
      <c r="Y91" s="267"/>
      <c r="Z91" s="267"/>
      <c r="AA91" s="267"/>
      <c r="AB91" s="267"/>
      <c r="AC91" s="267"/>
      <c r="AD91" s="267"/>
    </row>
    <row r="92" spans="2:30" ht="15" thickBot="1" x14ac:dyDescent="0.35">
      <c r="B92" s="1312"/>
      <c r="C92" s="1313" t="str">
        <f>C85</f>
        <v>Výsledný růstový koef. - osobní (NEPRACOVNÍ čas) doprava</v>
      </c>
      <c r="D92" s="1313"/>
      <c r="E92" s="1331"/>
      <c r="F92" s="1316">
        <f>T85*(1+F89*$E$85)</f>
        <v>1.1076611274604822</v>
      </c>
      <c r="G92" s="1316">
        <f>F92*(1+G89*$E$85)</f>
        <v>1.1152375295723118</v>
      </c>
      <c r="H92" s="1316">
        <f t="shared" ref="H92:T92" si="40">G92*(1+H89*$E$85)</f>
        <v>1.1228657542745863</v>
      </c>
      <c r="I92" s="1316">
        <f t="shared" si="40"/>
        <v>1.1305461560338246</v>
      </c>
      <c r="J92" s="1316">
        <f t="shared" si="40"/>
        <v>1.1382790917410959</v>
      </c>
      <c r="K92" s="1316">
        <f t="shared" si="40"/>
        <v>1.1460649207286049</v>
      </c>
      <c r="L92" s="1316">
        <f t="shared" si="40"/>
        <v>1.1539040047863884</v>
      </c>
      <c r="M92" s="1316">
        <f t="shared" si="40"/>
        <v>1.1617967081791274</v>
      </c>
      <c r="N92" s="1316">
        <f t="shared" si="40"/>
        <v>1.1697433976630727</v>
      </c>
      <c r="O92" s="1316">
        <f t="shared" si="40"/>
        <v>1.1777444425030881</v>
      </c>
      <c r="P92" s="1316">
        <f t="shared" si="40"/>
        <v>1.1858002144898092</v>
      </c>
      <c r="Q92" s="1316">
        <f t="shared" si="40"/>
        <v>1.1939110879569195</v>
      </c>
      <c r="R92" s="1316">
        <f t="shared" si="40"/>
        <v>1.2020774397985448</v>
      </c>
      <c r="S92" s="1316">
        <f t="shared" si="40"/>
        <v>1.2102996494867668</v>
      </c>
      <c r="T92" s="1317">
        <f t="shared" si="40"/>
        <v>1.2185780990892563</v>
      </c>
      <c r="U92" s="268"/>
      <c r="V92" s="268"/>
      <c r="W92" s="268"/>
      <c r="X92" s="268"/>
      <c r="Y92" s="268"/>
      <c r="Z92" s="268"/>
      <c r="AA92" s="268"/>
      <c r="AB92" s="268"/>
      <c r="AC92" s="268"/>
      <c r="AD92" s="268"/>
    </row>
    <row r="93" spans="2:30" ht="15" thickBot="1" x14ac:dyDescent="0.35">
      <c r="B93" s="269"/>
    </row>
    <row r="94" spans="2:30" ht="14.25" customHeight="1" x14ac:dyDescent="0.3">
      <c r="B94" s="2001" t="str">
        <f>IF('0 Úvod'!$M$10="English",Slovnik!$D$266,Slovnik!$C$266)</f>
        <v>Komentáře</v>
      </c>
      <c r="C94" s="2002"/>
      <c r="D94" s="2002"/>
      <c r="E94" s="2002"/>
      <c r="F94" s="2002"/>
      <c r="G94" s="2002"/>
      <c r="H94" s="2002"/>
      <c r="I94" s="2002"/>
      <c r="J94" s="2002"/>
      <c r="K94" s="2002"/>
      <c r="L94" s="2002"/>
      <c r="M94" s="2002"/>
      <c r="N94" s="2002"/>
      <c r="O94" s="2002"/>
      <c r="P94" s="2002"/>
      <c r="Q94" s="2002"/>
      <c r="R94" s="2002"/>
      <c r="S94" s="2002"/>
      <c r="T94" s="2003"/>
    </row>
    <row r="95" spans="2:30" ht="15" customHeight="1" thickBot="1" x14ac:dyDescent="0.35">
      <c r="B95" s="2004"/>
      <c r="C95" s="2005"/>
      <c r="D95" s="2005"/>
      <c r="E95" s="2005"/>
      <c r="F95" s="2005"/>
      <c r="G95" s="2005"/>
      <c r="H95" s="2005"/>
      <c r="I95" s="2005"/>
      <c r="J95" s="2005"/>
      <c r="K95" s="2005"/>
      <c r="L95" s="2005"/>
      <c r="M95" s="2005"/>
      <c r="N95" s="2005"/>
      <c r="O95" s="2005"/>
      <c r="P95" s="2005"/>
      <c r="Q95" s="2005"/>
      <c r="R95" s="2005"/>
      <c r="S95" s="2005"/>
      <c r="T95" s="2006"/>
    </row>
    <row r="96" spans="2:30" ht="15" thickBot="1" x14ac:dyDescent="0.35">
      <c r="B96" s="1998"/>
      <c r="C96" s="1999"/>
      <c r="D96" s="1999"/>
      <c r="E96" s="1999"/>
      <c r="F96" s="1999"/>
      <c r="G96" s="1999"/>
      <c r="H96" s="1999"/>
      <c r="I96" s="1999"/>
      <c r="J96" s="1999"/>
      <c r="K96" s="1999"/>
      <c r="L96" s="1999"/>
      <c r="M96" s="1999"/>
      <c r="N96" s="1999"/>
      <c r="O96" s="1999"/>
      <c r="P96" s="1999"/>
      <c r="Q96" s="1999"/>
      <c r="R96" s="1999"/>
      <c r="S96" s="1999"/>
      <c r="T96" s="2000"/>
    </row>
  </sheetData>
  <sheetProtection algorithmName="SHA-512" hashValue="HWd6T8kZ577VT/xztvtXVChdgXOiTBV8TZy36ulhnBgZ4kI1vLoFDplhW9ul0Q7MyPbU1CLHenc4af+gvz9L3w==" saltValue="pQYKsGN50IF2KDp3Do8y5Q==" spinCount="100000" sheet="1" objects="1" scenarios="1"/>
  <mergeCells count="134">
    <mergeCell ref="T29:T30"/>
    <mergeCell ref="S11:S12"/>
    <mergeCell ref="T11:T12"/>
    <mergeCell ref="T20:T21"/>
    <mergeCell ref="R29:R30"/>
    <mergeCell ref="I2:I3"/>
    <mergeCell ref="J2:J3"/>
    <mergeCell ref="K2:K3"/>
    <mergeCell ref="L2:L3"/>
    <mergeCell ref="M2:M3"/>
    <mergeCell ref="T2:T3"/>
    <mergeCell ref="N2:N3"/>
    <mergeCell ref="O2:O3"/>
    <mergeCell ref="P2:P3"/>
    <mergeCell ref="K11:K12"/>
    <mergeCell ref="L11:L12"/>
    <mergeCell ref="M11:M12"/>
    <mergeCell ref="N11:N12"/>
    <mergeCell ref="O11:O12"/>
    <mergeCell ref="P11:P12"/>
    <mergeCell ref="Q11:Q12"/>
    <mergeCell ref="R11:R12"/>
    <mergeCell ref="K20:K21"/>
    <mergeCell ref="Q2:Q3"/>
    <mergeCell ref="R2:R3"/>
    <mergeCell ref="S2:S3"/>
    <mergeCell ref="F2:F3"/>
    <mergeCell ref="G2:G3"/>
    <mergeCell ref="H2:H3"/>
    <mergeCell ref="L38:L39"/>
    <mergeCell ref="M38:M39"/>
    <mergeCell ref="M29:M30"/>
    <mergeCell ref="R20:R21"/>
    <mergeCell ref="S20:S21"/>
    <mergeCell ref="F29:F30"/>
    <mergeCell ref="G29:G30"/>
    <mergeCell ref="H29:H30"/>
    <mergeCell ref="I29:I30"/>
    <mergeCell ref="J29:J30"/>
    <mergeCell ref="K29:K30"/>
    <mergeCell ref="L29:L30"/>
    <mergeCell ref="L20:L21"/>
    <mergeCell ref="M20:M21"/>
    <mergeCell ref="N20:N21"/>
    <mergeCell ref="O20:O21"/>
    <mergeCell ref="P20:P21"/>
    <mergeCell ref="Q20:Q21"/>
    <mergeCell ref="S38:S39"/>
    <mergeCell ref="F20:F21"/>
    <mergeCell ref="G20:G21"/>
    <mergeCell ref="H20:H21"/>
    <mergeCell ref="I20:I21"/>
    <mergeCell ref="J20:J21"/>
    <mergeCell ref="N29:N30"/>
    <mergeCell ref="O29:O30"/>
    <mergeCell ref="H38:H39"/>
    <mergeCell ref="I38:I39"/>
    <mergeCell ref="J38:J39"/>
    <mergeCell ref="P29:P30"/>
    <mergeCell ref="Q29:Q30"/>
    <mergeCell ref="S29:S30"/>
    <mergeCell ref="K47:K48"/>
    <mergeCell ref="L47:L48"/>
    <mergeCell ref="M47:M48"/>
    <mergeCell ref="N47:N48"/>
    <mergeCell ref="N38:N39"/>
    <mergeCell ref="O38:O39"/>
    <mergeCell ref="P38:P39"/>
    <mergeCell ref="Q38:Q39"/>
    <mergeCell ref="R38:R39"/>
    <mergeCell ref="K38:K39"/>
    <mergeCell ref="O47:O48"/>
    <mergeCell ref="P47:P48"/>
    <mergeCell ref="Q47:Q48"/>
    <mergeCell ref="R47:R48"/>
    <mergeCell ref="S47:S48"/>
    <mergeCell ref="T47:T48"/>
    <mergeCell ref="T38:T39"/>
    <mergeCell ref="F47:F48"/>
    <mergeCell ref="G47:G48"/>
    <mergeCell ref="H47:H48"/>
    <mergeCell ref="I47:I48"/>
    <mergeCell ref="L58:O59"/>
    <mergeCell ref="B60:E60"/>
    <mergeCell ref="B61:C62"/>
    <mergeCell ref="F38:F39"/>
    <mergeCell ref="G38:G39"/>
    <mergeCell ref="Q87:Q88"/>
    <mergeCell ref="Q80:Q81"/>
    <mergeCell ref="R80:R81"/>
    <mergeCell ref="B63:B70"/>
    <mergeCell ref="C63:C64"/>
    <mergeCell ref="C65:C66"/>
    <mergeCell ref="C67:C68"/>
    <mergeCell ref="C69:C70"/>
    <mergeCell ref="F58:G58"/>
    <mergeCell ref="F80:F81"/>
    <mergeCell ref="G80:G81"/>
    <mergeCell ref="H80:H81"/>
    <mergeCell ref="K80:K81"/>
    <mergeCell ref="L80:L81"/>
    <mergeCell ref="M80:M81"/>
    <mergeCell ref="N80:N81"/>
    <mergeCell ref="O80:O81"/>
    <mergeCell ref="P80:P81"/>
    <mergeCell ref="L87:L88"/>
    <mergeCell ref="M87:M88"/>
    <mergeCell ref="N87:N88"/>
    <mergeCell ref="O87:O88"/>
    <mergeCell ref="P87:P88"/>
    <mergeCell ref="S80:S81"/>
    <mergeCell ref="B96:T96"/>
    <mergeCell ref="B94:T95"/>
    <mergeCell ref="B71:E71"/>
    <mergeCell ref="B72:C73"/>
    <mergeCell ref="B74:C76"/>
    <mergeCell ref="J47:J48"/>
    <mergeCell ref="F11:F12"/>
    <mergeCell ref="G11:G12"/>
    <mergeCell ref="H11:H12"/>
    <mergeCell ref="I11:I12"/>
    <mergeCell ref="J11:J12"/>
    <mergeCell ref="S87:S88"/>
    <mergeCell ref="T87:T88"/>
    <mergeCell ref="I80:I81"/>
    <mergeCell ref="J80:J81"/>
    <mergeCell ref="R87:R88"/>
    <mergeCell ref="T80:T81"/>
    <mergeCell ref="F87:F88"/>
    <mergeCell ref="G87:G88"/>
    <mergeCell ref="H87:H88"/>
    <mergeCell ref="I87:I88"/>
    <mergeCell ref="J87:J88"/>
    <mergeCell ref="K87:K88"/>
  </mergeCells>
  <phoneticPr fontId="100" type="noConversion"/>
  <printOptions horizontalCentered="1"/>
  <pageMargins left="0.19685039370078741" right="0.15748031496062992" top="0.78740157480314965" bottom="0.78740157480314965" header="0.39370078740157483" footer="0.39370078740157483"/>
  <pageSetup paperSize="9" scale="56" fitToHeight="0" orientation="landscape" r:id="rId1"/>
  <headerFooter alignWithMargins="0">
    <oddFooter>&amp;L&amp;A&amp;C&amp;D</oddFooter>
  </headerFooter>
  <ignoredErrors>
    <ignoredError sqref="L71:O72" unlocked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List29">
    <pageSetUpPr fitToPage="1"/>
  </sheetPr>
  <dimension ref="A1:AC229"/>
  <sheetViews>
    <sheetView defaultGridColor="0" topLeftCell="A93" colorId="23" zoomScaleNormal="100" workbookViewId="0">
      <selection activeCell="C139" sqref="C139"/>
    </sheetView>
  </sheetViews>
  <sheetFormatPr defaultColWidth="9.140625" defaultRowHeight="13.5" x14ac:dyDescent="0.3"/>
  <cols>
    <col min="1" max="1" width="2.42578125" style="276" customWidth="1"/>
    <col min="2" max="2" width="10.5703125" style="276" customWidth="1"/>
    <col min="3" max="3" width="42.140625" style="276" customWidth="1"/>
    <col min="4" max="4" width="20.28515625" style="276" customWidth="1"/>
    <col min="5" max="5" width="11.42578125" style="276" customWidth="1"/>
    <col min="6" max="6" width="13.42578125" style="276" customWidth="1"/>
    <col min="7" max="7" width="12.85546875" style="276" bestFit="1" customWidth="1"/>
    <col min="8" max="15" width="11.42578125" style="276" bestFit="1" customWidth="1"/>
    <col min="16" max="16" width="11.42578125" style="276" customWidth="1"/>
    <col min="17" max="17" width="11.42578125" style="276" bestFit="1" customWidth="1"/>
    <col min="18" max="19" width="11.42578125" style="276" customWidth="1"/>
    <col min="20" max="20" width="10.5703125" style="276" customWidth="1"/>
    <col min="21" max="21" width="12" style="276" customWidth="1"/>
    <col min="22" max="22" width="12.7109375" style="276" customWidth="1"/>
    <col min="23" max="29" width="10.5703125" style="276" customWidth="1"/>
    <col min="30" max="34" width="7.140625" style="276" customWidth="1"/>
    <col min="35" max="16384" width="9.140625" style="276"/>
  </cols>
  <sheetData>
    <row r="1" spans="1:29" ht="14.25" customHeight="1" thickBot="1" x14ac:dyDescent="0.35">
      <c r="A1" s="245"/>
      <c r="B1" s="245"/>
      <c r="C1" s="245"/>
      <c r="D1" s="245"/>
      <c r="E1" s="236"/>
      <c r="F1" s="245"/>
      <c r="G1" s="245"/>
      <c r="H1" s="245"/>
      <c r="I1" s="245"/>
      <c r="J1" s="245"/>
      <c r="K1" s="245"/>
      <c r="L1" s="245"/>
      <c r="M1" s="245"/>
      <c r="N1" s="245"/>
      <c r="O1" s="245"/>
      <c r="P1" s="245"/>
      <c r="Q1" s="245"/>
      <c r="R1" s="245"/>
      <c r="S1" s="245"/>
      <c r="T1" s="245"/>
    </row>
    <row r="2" spans="1:29" ht="14.25" x14ac:dyDescent="0.3">
      <c r="A2" s="245"/>
      <c r="B2" s="290" t="s">
        <v>46</v>
      </c>
      <c r="C2" s="272" t="str">
        <f>IF('0 Úvod'!$M$10="English",Slovnik!D276,Slovnik!C276)</f>
        <v>Externí náklady (CZK)</v>
      </c>
      <c r="D2" s="274"/>
      <c r="E2" s="2129">
        <f>'1 CIN'!E3</f>
        <v>2026</v>
      </c>
      <c r="F2" s="2127">
        <f t="shared" ref="F2:S2" si="0">E2+1</f>
        <v>2027</v>
      </c>
      <c r="G2" s="2127">
        <f t="shared" si="0"/>
        <v>2028</v>
      </c>
      <c r="H2" s="2127">
        <f t="shared" si="0"/>
        <v>2029</v>
      </c>
      <c r="I2" s="2127">
        <f t="shared" si="0"/>
        <v>2030</v>
      </c>
      <c r="J2" s="2127">
        <f t="shared" si="0"/>
        <v>2031</v>
      </c>
      <c r="K2" s="2127">
        <f t="shared" si="0"/>
        <v>2032</v>
      </c>
      <c r="L2" s="2127">
        <f t="shared" si="0"/>
        <v>2033</v>
      </c>
      <c r="M2" s="2127">
        <f t="shared" si="0"/>
        <v>2034</v>
      </c>
      <c r="N2" s="2127">
        <f t="shared" si="0"/>
        <v>2035</v>
      </c>
      <c r="O2" s="2127">
        <f t="shared" si="0"/>
        <v>2036</v>
      </c>
      <c r="P2" s="2127">
        <f t="shared" si="0"/>
        <v>2037</v>
      </c>
      <c r="Q2" s="2127">
        <f t="shared" si="0"/>
        <v>2038</v>
      </c>
      <c r="R2" s="2127">
        <f t="shared" si="0"/>
        <v>2039</v>
      </c>
      <c r="S2" s="2125">
        <f t="shared" si="0"/>
        <v>2040</v>
      </c>
      <c r="T2" s="247"/>
      <c r="U2" s="247"/>
      <c r="V2" s="247"/>
      <c r="W2" s="247"/>
      <c r="X2" s="247"/>
      <c r="Y2" s="247"/>
      <c r="Z2" s="247"/>
      <c r="AA2" s="247"/>
      <c r="AB2" s="247"/>
      <c r="AC2" s="247"/>
    </row>
    <row r="3" spans="1:29" ht="15" thickBot="1" x14ac:dyDescent="0.35">
      <c r="A3" s="245"/>
      <c r="B3" s="256" t="s">
        <v>4</v>
      </c>
      <c r="C3" s="544" t="str">
        <f>IF('0 Úvod'!$M$10="English",Slovnik!D277,Slovnik!C277)</f>
        <v>Scénář s projektem</v>
      </c>
      <c r="D3" s="1517" t="str">
        <f>IF('0 Úvod'!$M$10="English",Slovnik!$D$284,Slovnik!$C$284)</f>
        <v>Celkem</v>
      </c>
      <c r="E3" s="2130"/>
      <c r="F3" s="2128"/>
      <c r="G3" s="2128"/>
      <c r="H3" s="2128"/>
      <c r="I3" s="2128"/>
      <c r="J3" s="2128"/>
      <c r="K3" s="2128"/>
      <c r="L3" s="2128"/>
      <c r="M3" s="2128"/>
      <c r="N3" s="2128"/>
      <c r="O3" s="2128"/>
      <c r="P3" s="2128"/>
      <c r="Q3" s="2128"/>
      <c r="R3" s="2128"/>
      <c r="S3" s="2126"/>
      <c r="T3" s="247"/>
      <c r="U3" s="247"/>
      <c r="V3" s="247"/>
      <c r="W3" s="247"/>
      <c r="X3" s="247"/>
      <c r="Y3" s="247"/>
      <c r="Z3" s="247"/>
      <c r="AA3" s="247"/>
      <c r="AB3" s="247"/>
      <c r="AC3" s="247"/>
    </row>
    <row r="4" spans="1:29" ht="14.25" x14ac:dyDescent="0.3">
      <c r="A4" s="245"/>
      <c r="B4" s="2059" t="s">
        <v>438</v>
      </c>
      <c r="C4" s="1643" t="str">
        <f>IF('0 Úvod'!$M$10="English",Slovnik!D278,Slovnik!C278)</f>
        <v>Nehody</v>
      </c>
      <c r="D4" s="586">
        <f t="shared" ref="D4:D14" si="1">SUM(E4:S4,E18:S18)</f>
        <v>0</v>
      </c>
      <c r="E4" s="1644">
        <f t="shared" ref="E4:S4" si="2">E175*$E140*E$155</f>
        <v>0</v>
      </c>
      <c r="F4" s="1645">
        <f t="shared" si="2"/>
        <v>0</v>
      </c>
      <c r="G4" s="1645">
        <f t="shared" si="2"/>
        <v>0</v>
      </c>
      <c r="H4" s="1645">
        <f t="shared" si="2"/>
        <v>0</v>
      </c>
      <c r="I4" s="1645">
        <f t="shared" si="2"/>
        <v>0</v>
      </c>
      <c r="J4" s="1645">
        <f t="shared" si="2"/>
        <v>0</v>
      </c>
      <c r="K4" s="1645">
        <f t="shared" si="2"/>
        <v>0</v>
      </c>
      <c r="L4" s="1645">
        <f t="shared" si="2"/>
        <v>0</v>
      </c>
      <c r="M4" s="1645">
        <f t="shared" si="2"/>
        <v>0</v>
      </c>
      <c r="N4" s="1645">
        <f t="shared" si="2"/>
        <v>0</v>
      </c>
      <c r="O4" s="1645">
        <f t="shared" si="2"/>
        <v>0</v>
      </c>
      <c r="P4" s="1645">
        <f t="shared" si="2"/>
        <v>0</v>
      </c>
      <c r="Q4" s="1645">
        <f t="shared" si="2"/>
        <v>0</v>
      </c>
      <c r="R4" s="1645">
        <f t="shared" si="2"/>
        <v>0</v>
      </c>
      <c r="S4" s="1646">
        <f t="shared" si="2"/>
        <v>0</v>
      </c>
      <c r="T4" s="236"/>
      <c r="U4" s="236"/>
      <c r="V4" s="236"/>
      <c r="W4" s="236"/>
      <c r="X4" s="236"/>
      <c r="Y4" s="236"/>
      <c r="Z4" s="236"/>
      <c r="AA4" s="236"/>
      <c r="AB4" s="236"/>
      <c r="AC4" s="236"/>
    </row>
    <row r="5" spans="1:29" ht="14.25" x14ac:dyDescent="0.3">
      <c r="A5" s="245"/>
      <c r="B5" s="2060"/>
      <c r="C5" s="1647" t="str">
        <f>IF('0 Úvod'!$M$10="English",Slovnik!D279,Slovnik!C279)</f>
        <v>Hluk</v>
      </c>
      <c r="D5" s="587">
        <f t="shared" si="1"/>
        <v>0</v>
      </c>
      <c r="E5" s="1510">
        <f t="shared" ref="E5:S5" si="3">E176*$E141*E$155</f>
        <v>0</v>
      </c>
      <c r="F5" s="1347">
        <f t="shared" si="3"/>
        <v>0</v>
      </c>
      <c r="G5" s="1347">
        <f t="shared" si="3"/>
        <v>0</v>
      </c>
      <c r="H5" s="1347">
        <f t="shared" si="3"/>
        <v>0</v>
      </c>
      <c r="I5" s="1347">
        <f t="shared" si="3"/>
        <v>0</v>
      </c>
      <c r="J5" s="1347">
        <f t="shared" si="3"/>
        <v>0</v>
      </c>
      <c r="K5" s="1347">
        <f t="shared" si="3"/>
        <v>0</v>
      </c>
      <c r="L5" s="1347">
        <f t="shared" si="3"/>
        <v>0</v>
      </c>
      <c r="M5" s="1347">
        <f t="shared" si="3"/>
        <v>0</v>
      </c>
      <c r="N5" s="1347">
        <f t="shared" si="3"/>
        <v>0</v>
      </c>
      <c r="O5" s="1347">
        <f t="shared" si="3"/>
        <v>0</v>
      </c>
      <c r="P5" s="1347">
        <f t="shared" si="3"/>
        <v>0</v>
      </c>
      <c r="Q5" s="1347">
        <f t="shared" si="3"/>
        <v>0</v>
      </c>
      <c r="R5" s="1347">
        <f t="shared" si="3"/>
        <v>0</v>
      </c>
      <c r="S5" s="1348">
        <f t="shared" si="3"/>
        <v>0</v>
      </c>
      <c r="T5" s="236"/>
      <c r="U5" s="236"/>
      <c r="V5" s="236"/>
      <c r="W5" s="236"/>
      <c r="X5" s="236"/>
      <c r="Y5" s="236"/>
      <c r="Z5" s="236"/>
      <c r="AA5" s="236"/>
      <c r="AB5" s="236"/>
      <c r="AC5" s="236"/>
    </row>
    <row r="6" spans="1:29" s="289" customFormat="1" ht="14.25" x14ac:dyDescent="0.3">
      <c r="A6" s="287"/>
      <c r="B6" s="2061" t="s">
        <v>1448</v>
      </c>
      <c r="C6" s="1648" t="str">
        <f>IF('0 Úvod'!$M$10="English",Slovnik!D278,Slovnik!C278)</f>
        <v>Nehody</v>
      </c>
      <c r="D6" s="588">
        <f t="shared" si="1"/>
        <v>0</v>
      </c>
      <c r="E6" s="1649">
        <f t="shared" ref="E6:S6" si="4">E177*$E142*E$155</f>
        <v>0</v>
      </c>
      <c r="F6" s="1650">
        <f t="shared" si="4"/>
        <v>0</v>
      </c>
      <c r="G6" s="1650">
        <f t="shared" si="4"/>
        <v>0</v>
      </c>
      <c r="H6" s="1650">
        <f t="shared" si="4"/>
        <v>0</v>
      </c>
      <c r="I6" s="1650">
        <f t="shared" si="4"/>
        <v>0</v>
      </c>
      <c r="J6" s="1650">
        <f t="shared" si="4"/>
        <v>0</v>
      </c>
      <c r="K6" s="1650">
        <f t="shared" si="4"/>
        <v>0</v>
      </c>
      <c r="L6" s="1650">
        <f t="shared" si="4"/>
        <v>0</v>
      </c>
      <c r="M6" s="1650">
        <f t="shared" si="4"/>
        <v>0</v>
      </c>
      <c r="N6" s="1650">
        <f t="shared" si="4"/>
        <v>0</v>
      </c>
      <c r="O6" s="1650">
        <f t="shared" si="4"/>
        <v>0</v>
      </c>
      <c r="P6" s="1650">
        <f t="shared" si="4"/>
        <v>0</v>
      </c>
      <c r="Q6" s="1650">
        <f t="shared" si="4"/>
        <v>0</v>
      </c>
      <c r="R6" s="1650">
        <f t="shared" si="4"/>
        <v>0</v>
      </c>
      <c r="S6" s="1651">
        <f t="shared" si="4"/>
        <v>0</v>
      </c>
      <c r="T6" s="288"/>
      <c r="U6" s="288"/>
      <c r="V6" s="288"/>
      <c r="W6" s="288"/>
      <c r="X6" s="288"/>
      <c r="Y6" s="288"/>
      <c r="Z6" s="288"/>
      <c r="AA6" s="288"/>
      <c r="AB6" s="288"/>
      <c r="AC6" s="288"/>
    </row>
    <row r="7" spans="1:29" s="289" customFormat="1" ht="14.25" x14ac:dyDescent="0.3">
      <c r="A7" s="287"/>
      <c r="B7" s="2062"/>
      <c r="C7" s="1652" t="str">
        <f>IF('0 Úvod'!$M$10="English",Slovnik!D279,Slovnik!C279)</f>
        <v>Hluk</v>
      </c>
      <c r="D7" s="589">
        <f t="shared" si="1"/>
        <v>0</v>
      </c>
      <c r="E7" s="1653">
        <f t="shared" ref="E7:S7" si="5">E178*$E143*E$155</f>
        <v>0</v>
      </c>
      <c r="F7" s="1654">
        <f t="shared" si="5"/>
        <v>0</v>
      </c>
      <c r="G7" s="1654">
        <f t="shared" si="5"/>
        <v>0</v>
      </c>
      <c r="H7" s="1654">
        <f t="shared" si="5"/>
        <v>0</v>
      </c>
      <c r="I7" s="1654">
        <f t="shared" si="5"/>
        <v>0</v>
      </c>
      <c r="J7" s="1654">
        <f t="shared" si="5"/>
        <v>0</v>
      </c>
      <c r="K7" s="1654">
        <f t="shared" si="5"/>
        <v>0</v>
      </c>
      <c r="L7" s="1654">
        <f t="shared" si="5"/>
        <v>0</v>
      </c>
      <c r="M7" s="1654">
        <f t="shared" si="5"/>
        <v>0</v>
      </c>
      <c r="N7" s="1654">
        <f t="shared" si="5"/>
        <v>0</v>
      </c>
      <c r="O7" s="1654">
        <f t="shared" si="5"/>
        <v>0</v>
      </c>
      <c r="P7" s="1654">
        <f t="shared" si="5"/>
        <v>0</v>
      </c>
      <c r="Q7" s="1654">
        <f t="shared" si="5"/>
        <v>0</v>
      </c>
      <c r="R7" s="1654">
        <f t="shared" si="5"/>
        <v>0</v>
      </c>
      <c r="S7" s="1655">
        <f t="shared" si="5"/>
        <v>0</v>
      </c>
      <c r="T7" s="288"/>
      <c r="U7" s="288"/>
      <c r="V7" s="288"/>
      <c r="W7" s="288"/>
      <c r="X7" s="288"/>
      <c r="Y7" s="288"/>
      <c r="Z7" s="288"/>
      <c r="AA7" s="288"/>
      <c r="AB7" s="288"/>
      <c r="AC7" s="288"/>
    </row>
    <row r="8" spans="1:29" ht="14.25" customHeight="1" x14ac:dyDescent="0.3">
      <c r="A8" s="245"/>
      <c r="B8" s="2061" t="s">
        <v>1449</v>
      </c>
      <c r="C8" s="1647" t="str">
        <f>IF('0 Úvod'!$M$10="English",Slovnik!D278,Slovnik!C278)</f>
        <v>Nehody</v>
      </c>
      <c r="D8" s="587">
        <f t="shared" si="1"/>
        <v>0</v>
      </c>
      <c r="E8" s="1510">
        <f t="shared" ref="E8:S8" si="6">E179*$E144*E$155</f>
        <v>0</v>
      </c>
      <c r="F8" s="1347">
        <f t="shared" si="6"/>
        <v>0</v>
      </c>
      <c r="G8" s="1347">
        <f t="shared" si="6"/>
        <v>0</v>
      </c>
      <c r="H8" s="1347">
        <f t="shared" si="6"/>
        <v>0</v>
      </c>
      <c r="I8" s="1347">
        <f t="shared" si="6"/>
        <v>0</v>
      </c>
      <c r="J8" s="1347">
        <f t="shared" si="6"/>
        <v>0</v>
      </c>
      <c r="K8" s="1347">
        <f t="shared" si="6"/>
        <v>0</v>
      </c>
      <c r="L8" s="1347">
        <f t="shared" si="6"/>
        <v>0</v>
      </c>
      <c r="M8" s="1347">
        <f t="shared" si="6"/>
        <v>0</v>
      </c>
      <c r="N8" s="1347">
        <f t="shared" si="6"/>
        <v>0</v>
      </c>
      <c r="O8" s="1347">
        <f t="shared" si="6"/>
        <v>0</v>
      </c>
      <c r="P8" s="1347">
        <f t="shared" si="6"/>
        <v>0</v>
      </c>
      <c r="Q8" s="1347">
        <f t="shared" si="6"/>
        <v>0</v>
      </c>
      <c r="R8" s="1347">
        <f t="shared" si="6"/>
        <v>0</v>
      </c>
      <c r="S8" s="1348">
        <f t="shared" si="6"/>
        <v>0</v>
      </c>
      <c r="T8" s="236"/>
      <c r="U8" s="236"/>
      <c r="V8" s="236"/>
      <c r="W8" s="236"/>
      <c r="X8" s="236"/>
      <c r="Y8" s="236"/>
      <c r="Z8" s="236"/>
      <c r="AA8" s="236"/>
      <c r="AB8" s="236"/>
      <c r="AC8" s="236"/>
    </row>
    <row r="9" spans="1:29" ht="14.25" x14ac:dyDescent="0.3">
      <c r="A9" s="245"/>
      <c r="B9" s="2062"/>
      <c r="C9" s="1647" t="str">
        <f>IF('0 Úvod'!$M$10="English",Slovnik!D279,Slovnik!C279)</f>
        <v>Hluk</v>
      </c>
      <c r="D9" s="587">
        <f t="shared" si="1"/>
        <v>0</v>
      </c>
      <c r="E9" s="1510">
        <f t="shared" ref="E9:S9" si="7">E180*$E145*E$155</f>
        <v>0</v>
      </c>
      <c r="F9" s="1347">
        <f t="shared" si="7"/>
        <v>0</v>
      </c>
      <c r="G9" s="1347">
        <f t="shared" si="7"/>
        <v>0</v>
      </c>
      <c r="H9" s="1347">
        <f t="shared" si="7"/>
        <v>0</v>
      </c>
      <c r="I9" s="1347">
        <f t="shared" si="7"/>
        <v>0</v>
      </c>
      <c r="J9" s="1347">
        <f t="shared" si="7"/>
        <v>0</v>
      </c>
      <c r="K9" s="1347">
        <f t="shared" si="7"/>
        <v>0</v>
      </c>
      <c r="L9" s="1347">
        <f t="shared" si="7"/>
        <v>0</v>
      </c>
      <c r="M9" s="1347">
        <f t="shared" si="7"/>
        <v>0</v>
      </c>
      <c r="N9" s="1347">
        <f t="shared" si="7"/>
        <v>0</v>
      </c>
      <c r="O9" s="1347">
        <f t="shared" si="7"/>
        <v>0</v>
      </c>
      <c r="P9" s="1347">
        <f t="shared" si="7"/>
        <v>0</v>
      </c>
      <c r="Q9" s="1347">
        <f t="shared" si="7"/>
        <v>0</v>
      </c>
      <c r="R9" s="1347">
        <f t="shared" si="7"/>
        <v>0</v>
      </c>
      <c r="S9" s="1348">
        <f t="shared" si="7"/>
        <v>0</v>
      </c>
      <c r="T9" s="236"/>
      <c r="U9" s="236"/>
      <c r="V9" s="236"/>
      <c r="W9" s="236"/>
      <c r="X9" s="236"/>
      <c r="Y9" s="236"/>
      <c r="Z9" s="236"/>
      <c r="AA9" s="236"/>
      <c r="AB9" s="236"/>
      <c r="AC9" s="236"/>
    </row>
    <row r="10" spans="1:29" s="289" customFormat="1" ht="14.25" x14ac:dyDescent="0.3">
      <c r="A10" s="287"/>
      <c r="B10" s="2063" t="s">
        <v>1450</v>
      </c>
      <c r="C10" s="1648" t="str">
        <f>IF('0 Úvod'!$M$10="English",Slovnik!D278,Slovnik!C278)</f>
        <v>Nehody</v>
      </c>
      <c r="D10" s="588">
        <f t="shared" si="1"/>
        <v>0</v>
      </c>
      <c r="E10" s="1649">
        <f t="shared" ref="E10:S10" si="8">E181*$E146*E$155</f>
        <v>0</v>
      </c>
      <c r="F10" s="1650">
        <f t="shared" si="8"/>
        <v>0</v>
      </c>
      <c r="G10" s="1650">
        <f t="shared" si="8"/>
        <v>0</v>
      </c>
      <c r="H10" s="1650">
        <f t="shared" si="8"/>
        <v>0</v>
      </c>
      <c r="I10" s="1650">
        <f t="shared" si="8"/>
        <v>0</v>
      </c>
      <c r="J10" s="1650">
        <f t="shared" si="8"/>
        <v>0</v>
      </c>
      <c r="K10" s="1650">
        <f t="shared" si="8"/>
        <v>0</v>
      </c>
      <c r="L10" s="1650">
        <f t="shared" si="8"/>
        <v>0</v>
      </c>
      <c r="M10" s="1650">
        <f t="shared" si="8"/>
        <v>0</v>
      </c>
      <c r="N10" s="1650">
        <f t="shared" si="8"/>
        <v>0</v>
      </c>
      <c r="O10" s="1650">
        <f t="shared" si="8"/>
        <v>0</v>
      </c>
      <c r="P10" s="1650">
        <f t="shared" si="8"/>
        <v>0</v>
      </c>
      <c r="Q10" s="1650">
        <f t="shared" si="8"/>
        <v>0</v>
      </c>
      <c r="R10" s="1650">
        <f t="shared" si="8"/>
        <v>0</v>
      </c>
      <c r="S10" s="1651">
        <f t="shared" si="8"/>
        <v>0</v>
      </c>
      <c r="T10" s="288"/>
      <c r="U10" s="288"/>
      <c r="V10" s="288"/>
      <c r="W10" s="288"/>
      <c r="X10" s="288"/>
      <c r="Y10" s="288"/>
      <c r="Z10" s="288"/>
      <c r="AA10" s="288"/>
      <c r="AB10" s="288"/>
      <c r="AC10" s="288"/>
    </row>
    <row r="11" spans="1:29" s="289" customFormat="1" ht="14.25" x14ac:dyDescent="0.3">
      <c r="A11" s="287"/>
      <c r="B11" s="2062"/>
      <c r="C11" s="1652" t="str">
        <f>IF('0 Úvod'!$M$10="English",Slovnik!D279,Slovnik!C279)</f>
        <v>Hluk</v>
      </c>
      <c r="D11" s="589">
        <f t="shared" si="1"/>
        <v>0</v>
      </c>
      <c r="E11" s="1653">
        <f t="shared" ref="E11:S11" si="9">E182*$E147*E$155</f>
        <v>0</v>
      </c>
      <c r="F11" s="1654">
        <f t="shared" si="9"/>
        <v>0</v>
      </c>
      <c r="G11" s="1654">
        <f t="shared" si="9"/>
        <v>0</v>
      </c>
      <c r="H11" s="1654">
        <f t="shared" si="9"/>
        <v>0</v>
      </c>
      <c r="I11" s="1654">
        <f t="shared" si="9"/>
        <v>0</v>
      </c>
      <c r="J11" s="1654">
        <f t="shared" si="9"/>
        <v>0</v>
      </c>
      <c r="K11" s="1654">
        <f t="shared" si="9"/>
        <v>0</v>
      </c>
      <c r="L11" s="1654">
        <f t="shared" si="9"/>
        <v>0</v>
      </c>
      <c r="M11" s="1654">
        <f t="shared" si="9"/>
        <v>0</v>
      </c>
      <c r="N11" s="1654">
        <f t="shared" si="9"/>
        <v>0</v>
      </c>
      <c r="O11" s="1654">
        <f t="shared" si="9"/>
        <v>0</v>
      </c>
      <c r="P11" s="1654">
        <f t="shared" si="9"/>
        <v>0</v>
      </c>
      <c r="Q11" s="1654">
        <f t="shared" si="9"/>
        <v>0</v>
      </c>
      <c r="R11" s="1654">
        <f t="shared" si="9"/>
        <v>0</v>
      </c>
      <c r="S11" s="1655">
        <f t="shared" si="9"/>
        <v>0</v>
      </c>
      <c r="T11" s="288"/>
      <c r="U11" s="288"/>
      <c r="V11" s="288"/>
      <c r="W11" s="288"/>
      <c r="X11" s="288"/>
      <c r="Y11" s="288"/>
      <c r="Z11" s="288"/>
      <c r="AA11" s="288"/>
      <c r="AB11" s="288"/>
      <c r="AC11" s="288"/>
    </row>
    <row r="12" spans="1:29" s="289" customFormat="1" ht="14.25" x14ac:dyDescent="0.3">
      <c r="A12" s="287"/>
      <c r="B12" s="2061" t="s">
        <v>439</v>
      </c>
      <c r="C12" s="1648" t="str">
        <f>IF('0 Úvod'!$M$10="English",Slovnik!D278,Slovnik!C278)</f>
        <v>Nehody</v>
      </c>
      <c r="D12" s="588">
        <f t="shared" si="1"/>
        <v>0</v>
      </c>
      <c r="E12" s="1510">
        <f t="shared" ref="E12:S12" si="10">E183*$E148*E$155</f>
        <v>0</v>
      </c>
      <c r="F12" s="1347">
        <f t="shared" si="10"/>
        <v>0</v>
      </c>
      <c r="G12" s="1347">
        <f t="shared" si="10"/>
        <v>0</v>
      </c>
      <c r="H12" s="1347">
        <f t="shared" si="10"/>
        <v>0</v>
      </c>
      <c r="I12" s="1347">
        <f t="shared" si="10"/>
        <v>0</v>
      </c>
      <c r="J12" s="1347">
        <f t="shared" si="10"/>
        <v>0</v>
      </c>
      <c r="K12" s="1347">
        <f t="shared" si="10"/>
        <v>0</v>
      </c>
      <c r="L12" s="1347">
        <f t="shared" si="10"/>
        <v>0</v>
      </c>
      <c r="M12" s="1347">
        <f t="shared" si="10"/>
        <v>0</v>
      </c>
      <c r="N12" s="1347">
        <f t="shared" si="10"/>
        <v>0</v>
      </c>
      <c r="O12" s="1347">
        <f t="shared" si="10"/>
        <v>0</v>
      </c>
      <c r="P12" s="1347">
        <f t="shared" si="10"/>
        <v>0</v>
      </c>
      <c r="Q12" s="1347">
        <f t="shared" si="10"/>
        <v>0</v>
      </c>
      <c r="R12" s="1347">
        <f t="shared" si="10"/>
        <v>0</v>
      </c>
      <c r="S12" s="1348">
        <f t="shared" si="10"/>
        <v>0</v>
      </c>
      <c r="T12" s="288"/>
      <c r="U12" s="288"/>
      <c r="V12" s="288"/>
      <c r="W12" s="288"/>
      <c r="X12" s="288"/>
      <c r="Y12" s="288"/>
      <c r="Z12" s="288"/>
      <c r="AA12" s="288"/>
      <c r="AB12" s="288"/>
      <c r="AC12" s="288"/>
    </row>
    <row r="13" spans="1:29" s="289" customFormat="1" ht="14.25" x14ac:dyDescent="0.3">
      <c r="A13" s="287"/>
      <c r="B13" s="2062"/>
      <c r="C13" s="1652" t="str">
        <f>IF('0 Úvod'!$M$10="English",Slovnik!D279,Slovnik!C279)</f>
        <v>Hluk</v>
      </c>
      <c r="D13" s="589">
        <f t="shared" si="1"/>
        <v>0</v>
      </c>
      <c r="E13" s="1510">
        <f t="shared" ref="E13:S13" si="11">E184*$E149*E$155</f>
        <v>0</v>
      </c>
      <c r="F13" s="1347">
        <f t="shared" si="11"/>
        <v>0</v>
      </c>
      <c r="G13" s="1347">
        <f t="shared" si="11"/>
        <v>0</v>
      </c>
      <c r="H13" s="1347">
        <f t="shared" si="11"/>
        <v>0</v>
      </c>
      <c r="I13" s="1347">
        <f t="shared" si="11"/>
        <v>0</v>
      </c>
      <c r="J13" s="1347">
        <f t="shared" si="11"/>
        <v>0</v>
      </c>
      <c r="K13" s="1347">
        <f t="shared" si="11"/>
        <v>0</v>
      </c>
      <c r="L13" s="1347">
        <f t="shared" si="11"/>
        <v>0</v>
      </c>
      <c r="M13" s="1347">
        <f t="shared" si="11"/>
        <v>0</v>
      </c>
      <c r="N13" s="1347">
        <f t="shared" si="11"/>
        <v>0</v>
      </c>
      <c r="O13" s="1347">
        <f t="shared" si="11"/>
        <v>0</v>
      </c>
      <c r="P13" s="1347">
        <f t="shared" si="11"/>
        <v>0</v>
      </c>
      <c r="Q13" s="1347">
        <f t="shared" si="11"/>
        <v>0</v>
      </c>
      <c r="R13" s="1347">
        <f t="shared" si="11"/>
        <v>0</v>
      </c>
      <c r="S13" s="1348">
        <f t="shared" si="11"/>
        <v>0</v>
      </c>
      <c r="T13" s="288"/>
      <c r="U13" s="288"/>
      <c r="V13" s="288"/>
      <c r="W13" s="288"/>
      <c r="X13" s="288"/>
      <c r="Y13" s="288"/>
      <c r="Z13" s="288"/>
      <c r="AA13" s="288"/>
      <c r="AB13" s="288"/>
      <c r="AC13" s="288"/>
    </row>
    <row r="14" spans="1:29" ht="15" thickBot="1" x14ac:dyDescent="0.35">
      <c r="A14" s="245"/>
      <c r="B14" s="582"/>
      <c r="C14" s="240" t="str">
        <f>IF('0 Úvod'!$M$10="English",Slovnik!D282,Slovnik!C282)</f>
        <v>Celkové externí náklady</v>
      </c>
      <c r="D14" s="1656">
        <f t="shared" si="1"/>
        <v>0</v>
      </c>
      <c r="E14" s="480">
        <f t="shared" ref="E14:S14" si="12">SUM(E4:E13)</f>
        <v>0</v>
      </c>
      <c r="F14" s="481">
        <f t="shared" si="12"/>
        <v>0</v>
      </c>
      <c r="G14" s="481">
        <f t="shared" si="12"/>
        <v>0</v>
      </c>
      <c r="H14" s="481">
        <f t="shared" si="12"/>
        <v>0</v>
      </c>
      <c r="I14" s="481">
        <f t="shared" si="12"/>
        <v>0</v>
      </c>
      <c r="J14" s="481">
        <f t="shared" si="12"/>
        <v>0</v>
      </c>
      <c r="K14" s="481">
        <f t="shared" si="12"/>
        <v>0</v>
      </c>
      <c r="L14" s="481">
        <f t="shared" si="12"/>
        <v>0</v>
      </c>
      <c r="M14" s="481">
        <f t="shared" si="12"/>
        <v>0</v>
      </c>
      <c r="N14" s="481">
        <f t="shared" si="12"/>
        <v>0</v>
      </c>
      <c r="O14" s="481">
        <f t="shared" si="12"/>
        <v>0</v>
      </c>
      <c r="P14" s="481">
        <f t="shared" si="12"/>
        <v>0</v>
      </c>
      <c r="Q14" s="481">
        <f t="shared" si="12"/>
        <v>0</v>
      </c>
      <c r="R14" s="481">
        <f t="shared" si="12"/>
        <v>0</v>
      </c>
      <c r="S14" s="482">
        <f t="shared" si="12"/>
        <v>0</v>
      </c>
      <c r="T14" s="237"/>
      <c r="U14" s="237"/>
      <c r="V14" s="237"/>
      <c r="W14" s="237"/>
      <c r="X14" s="237"/>
      <c r="Y14" s="237"/>
      <c r="Z14" s="237"/>
      <c r="AA14" s="237"/>
      <c r="AB14" s="237"/>
      <c r="AC14" s="237"/>
    </row>
    <row r="15" spans="1:29" ht="14.25" thickBot="1" x14ac:dyDescent="0.35">
      <c r="A15" s="245"/>
      <c r="B15" s="1349"/>
      <c r="C15" s="1165"/>
      <c r="D15" s="1167"/>
      <c r="E15" s="1167"/>
      <c r="F15" s="1167"/>
      <c r="G15" s="1167"/>
      <c r="H15" s="1167"/>
      <c r="I15" s="1167"/>
      <c r="J15" s="1167"/>
      <c r="K15" s="1167"/>
      <c r="L15" s="1167"/>
      <c r="M15" s="1167"/>
      <c r="N15" s="1167"/>
      <c r="O15" s="1167"/>
      <c r="P15" s="1167"/>
      <c r="Q15" s="1167"/>
      <c r="R15" s="1167"/>
      <c r="S15" s="1167"/>
      <c r="T15" s="236"/>
      <c r="U15" s="236"/>
      <c r="V15" s="236"/>
      <c r="W15" s="236"/>
      <c r="X15" s="236"/>
      <c r="Y15" s="236"/>
      <c r="Z15" s="236"/>
      <c r="AA15" s="236"/>
      <c r="AB15" s="236"/>
      <c r="AC15" s="236"/>
    </row>
    <row r="16" spans="1:29" ht="14.25" x14ac:dyDescent="0.3">
      <c r="A16" s="245"/>
      <c r="B16" s="238" t="str">
        <f>B2</f>
        <v>9.1.</v>
      </c>
      <c r="C16" s="272" t="str">
        <f>C2</f>
        <v>Externí náklady (CZK)</v>
      </c>
      <c r="D16" s="275"/>
      <c r="E16" s="2129">
        <f>S2+1</f>
        <v>2041</v>
      </c>
      <c r="F16" s="2127">
        <f t="shared" ref="F16:S16" si="13">E16+1</f>
        <v>2042</v>
      </c>
      <c r="G16" s="2127">
        <f t="shared" si="13"/>
        <v>2043</v>
      </c>
      <c r="H16" s="2127">
        <f t="shared" si="13"/>
        <v>2044</v>
      </c>
      <c r="I16" s="2127">
        <f t="shared" si="13"/>
        <v>2045</v>
      </c>
      <c r="J16" s="2127">
        <f t="shared" si="13"/>
        <v>2046</v>
      </c>
      <c r="K16" s="2127">
        <f t="shared" si="13"/>
        <v>2047</v>
      </c>
      <c r="L16" s="2127">
        <f t="shared" si="13"/>
        <v>2048</v>
      </c>
      <c r="M16" s="2127">
        <f t="shared" si="13"/>
        <v>2049</v>
      </c>
      <c r="N16" s="2127">
        <f t="shared" si="13"/>
        <v>2050</v>
      </c>
      <c r="O16" s="2127">
        <f t="shared" si="13"/>
        <v>2051</v>
      </c>
      <c r="P16" s="2127">
        <f t="shared" si="13"/>
        <v>2052</v>
      </c>
      <c r="Q16" s="2127">
        <f t="shared" si="13"/>
        <v>2053</v>
      </c>
      <c r="R16" s="2127">
        <f t="shared" si="13"/>
        <v>2054</v>
      </c>
      <c r="S16" s="2125">
        <f t="shared" si="13"/>
        <v>2055</v>
      </c>
      <c r="T16" s="247"/>
      <c r="U16" s="247"/>
      <c r="V16" s="247"/>
      <c r="W16" s="247"/>
      <c r="X16" s="247"/>
      <c r="Y16" s="247"/>
      <c r="Z16" s="247"/>
      <c r="AA16" s="247"/>
      <c r="AB16" s="247"/>
      <c r="AC16" s="247"/>
    </row>
    <row r="17" spans="1:29" ht="15" thickBot="1" x14ac:dyDescent="0.35">
      <c r="A17" s="245"/>
      <c r="B17" s="257" t="s">
        <v>5</v>
      </c>
      <c r="C17" s="590" t="str">
        <f t="shared" ref="C17:C28" si="14">C3</f>
        <v>Scénář s projektem</v>
      </c>
      <c r="D17" s="1657"/>
      <c r="E17" s="2130"/>
      <c r="F17" s="2128"/>
      <c r="G17" s="2128"/>
      <c r="H17" s="2128"/>
      <c r="I17" s="2128"/>
      <c r="J17" s="2128"/>
      <c r="K17" s="2128"/>
      <c r="L17" s="2128"/>
      <c r="M17" s="2128"/>
      <c r="N17" s="2128"/>
      <c r="O17" s="2128"/>
      <c r="P17" s="2128"/>
      <c r="Q17" s="2128"/>
      <c r="R17" s="2128"/>
      <c r="S17" s="2126"/>
      <c r="T17" s="247"/>
      <c r="U17" s="247"/>
      <c r="V17" s="247"/>
      <c r="W17" s="247"/>
      <c r="X17" s="247"/>
      <c r="Y17" s="247"/>
      <c r="Z17" s="247"/>
      <c r="AA17" s="247"/>
      <c r="AB17" s="247"/>
      <c r="AC17" s="247"/>
    </row>
    <row r="18" spans="1:29" ht="12" customHeight="1" x14ac:dyDescent="0.3">
      <c r="A18" s="245"/>
      <c r="B18" s="2059" t="str">
        <f>B4</f>
        <v>BUS</v>
      </c>
      <c r="C18" s="1643" t="str">
        <f t="shared" si="14"/>
        <v>Nehody</v>
      </c>
      <c r="D18" s="1658"/>
      <c r="E18" s="1645">
        <f t="shared" ref="E18:S18" si="15">E189*$E140*E$160</f>
        <v>0</v>
      </c>
      <c r="F18" s="1645">
        <f t="shared" si="15"/>
        <v>0</v>
      </c>
      <c r="G18" s="1645">
        <f t="shared" si="15"/>
        <v>0</v>
      </c>
      <c r="H18" s="1645">
        <f t="shared" si="15"/>
        <v>0</v>
      </c>
      <c r="I18" s="1645">
        <f t="shared" si="15"/>
        <v>0</v>
      </c>
      <c r="J18" s="1645">
        <f t="shared" si="15"/>
        <v>0</v>
      </c>
      <c r="K18" s="1645">
        <f t="shared" si="15"/>
        <v>0</v>
      </c>
      <c r="L18" s="1645">
        <f t="shared" si="15"/>
        <v>0</v>
      </c>
      <c r="M18" s="1645">
        <f t="shared" si="15"/>
        <v>0</v>
      </c>
      <c r="N18" s="1645">
        <f t="shared" si="15"/>
        <v>0</v>
      </c>
      <c r="O18" s="1645">
        <f t="shared" si="15"/>
        <v>0</v>
      </c>
      <c r="P18" s="1645">
        <f t="shared" si="15"/>
        <v>0</v>
      </c>
      <c r="Q18" s="1645">
        <f t="shared" si="15"/>
        <v>0</v>
      </c>
      <c r="R18" s="1645">
        <f t="shared" si="15"/>
        <v>0</v>
      </c>
      <c r="S18" s="1646">
        <f t="shared" si="15"/>
        <v>0</v>
      </c>
      <c r="T18" s="477"/>
      <c r="U18" s="236"/>
      <c r="V18" s="236"/>
      <c r="W18" s="236"/>
      <c r="X18" s="236"/>
      <c r="Y18" s="236"/>
      <c r="Z18" s="236"/>
      <c r="AA18" s="236"/>
      <c r="AB18" s="236"/>
      <c r="AC18" s="236"/>
    </row>
    <row r="19" spans="1:29" ht="14.25" x14ac:dyDescent="0.3">
      <c r="A19" s="245"/>
      <c r="B19" s="2060"/>
      <c r="C19" s="1647" t="str">
        <f t="shared" si="14"/>
        <v>Hluk</v>
      </c>
      <c r="D19" s="1659"/>
      <c r="E19" s="1347">
        <f t="shared" ref="E19:S19" si="16">E190*$E141*E$160</f>
        <v>0</v>
      </c>
      <c r="F19" s="1347">
        <f t="shared" si="16"/>
        <v>0</v>
      </c>
      <c r="G19" s="1347">
        <f t="shared" si="16"/>
        <v>0</v>
      </c>
      <c r="H19" s="1347">
        <f t="shared" si="16"/>
        <v>0</v>
      </c>
      <c r="I19" s="1347">
        <f t="shared" si="16"/>
        <v>0</v>
      </c>
      <c r="J19" s="1347">
        <f t="shared" si="16"/>
        <v>0</v>
      </c>
      <c r="K19" s="1347">
        <f t="shared" si="16"/>
        <v>0</v>
      </c>
      <c r="L19" s="1347">
        <f t="shared" si="16"/>
        <v>0</v>
      </c>
      <c r="M19" s="1347">
        <f t="shared" si="16"/>
        <v>0</v>
      </c>
      <c r="N19" s="1347">
        <f t="shared" si="16"/>
        <v>0</v>
      </c>
      <c r="O19" s="1347">
        <f t="shared" si="16"/>
        <v>0</v>
      </c>
      <c r="P19" s="1347">
        <f t="shared" si="16"/>
        <v>0</v>
      </c>
      <c r="Q19" s="1347">
        <f t="shared" si="16"/>
        <v>0</v>
      </c>
      <c r="R19" s="1347">
        <f t="shared" si="16"/>
        <v>0</v>
      </c>
      <c r="S19" s="1348">
        <f t="shared" si="16"/>
        <v>0</v>
      </c>
      <c r="T19" s="477"/>
      <c r="U19" s="236"/>
      <c r="V19" s="236"/>
      <c r="W19" s="236"/>
      <c r="X19" s="236"/>
      <c r="Y19" s="236"/>
      <c r="Z19" s="236"/>
      <c r="AA19" s="236"/>
      <c r="AB19" s="236"/>
      <c r="AC19" s="236"/>
    </row>
    <row r="20" spans="1:29" s="289" customFormat="1" ht="12" customHeight="1" x14ac:dyDescent="0.3">
      <c r="A20" s="287"/>
      <c r="B20" s="2061" t="str">
        <f>B6</f>
        <v>Trolejbus</v>
      </c>
      <c r="C20" s="1660" t="str">
        <f t="shared" si="14"/>
        <v>Nehody</v>
      </c>
      <c r="D20" s="1661"/>
      <c r="E20" s="1650">
        <f t="shared" ref="E20:S20" si="17">E191*$E142*E$160</f>
        <v>0</v>
      </c>
      <c r="F20" s="1650">
        <f t="shared" si="17"/>
        <v>0</v>
      </c>
      <c r="G20" s="1650">
        <f t="shared" si="17"/>
        <v>0</v>
      </c>
      <c r="H20" s="1650">
        <f t="shared" si="17"/>
        <v>0</v>
      </c>
      <c r="I20" s="1650">
        <f t="shared" si="17"/>
        <v>0</v>
      </c>
      <c r="J20" s="1650">
        <f t="shared" si="17"/>
        <v>0</v>
      </c>
      <c r="K20" s="1650">
        <f t="shared" si="17"/>
        <v>0</v>
      </c>
      <c r="L20" s="1650">
        <f t="shared" si="17"/>
        <v>0</v>
      </c>
      <c r="M20" s="1650">
        <f t="shared" si="17"/>
        <v>0</v>
      </c>
      <c r="N20" s="1650">
        <f t="shared" si="17"/>
        <v>0</v>
      </c>
      <c r="O20" s="1650">
        <f t="shared" si="17"/>
        <v>0</v>
      </c>
      <c r="P20" s="1650">
        <f t="shared" si="17"/>
        <v>0</v>
      </c>
      <c r="Q20" s="1650">
        <f t="shared" si="17"/>
        <v>0</v>
      </c>
      <c r="R20" s="1650">
        <f t="shared" si="17"/>
        <v>0</v>
      </c>
      <c r="S20" s="1651">
        <f t="shared" si="17"/>
        <v>0</v>
      </c>
      <c r="T20" s="479"/>
      <c r="U20" s="288"/>
      <c r="V20" s="288"/>
      <c r="W20" s="288"/>
      <c r="X20" s="288"/>
      <c r="Y20" s="288"/>
      <c r="Z20" s="288"/>
      <c r="AA20" s="288"/>
      <c r="AB20" s="288"/>
      <c r="AC20" s="288"/>
    </row>
    <row r="21" spans="1:29" s="289" customFormat="1" ht="12" customHeight="1" x14ac:dyDescent="0.3">
      <c r="A21" s="287"/>
      <c r="B21" s="2062"/>
      <c r="C21" s="1662" t="str">
        <f t="shared" si="14"/>
        <v>Hluk</v>
      </c>
      <c r="D21" s="1663"/>
      <c r="E21" s="1654">
        <f t="shared" ref="E21:S21" si="18">E192*$E143*E$160</f>
        <v>0</v>
      </c>
      <c r="F21" s="1654">
        <f t="shared" si="18"/>
        <v>0</v>
      </c>
      <c r="G21" s="1654">
        <f t="shared" si="18"/>
        <v>0</v>
      </c>
      <c r="H21" s="1654">
        <f t="shared" si="18"/>
        <v>0</v>
      </c>
      <c r="I21" s="1654">
        <f t="shared" si="18"/>
        <v>0</v>
      </c>
      <c r="J21" s="1654">
        <f t="shared" si="18"/>
        <v>0</v>
      </c>
      <c r="K21" s="1654">
        <f t="shared" si="18"/>
        <v>0</v>
      </c>
      <c r="L21" s="1654">
        <f t="shared" si="18"/>
        <v>0</v>
      </c>
      <c r="M21" s="1654">
        <f t="shared" si="18"/>
        <v>0</v>
      </c>
      <c r="N21" s="1654">
        <f t="shared" si="18"/>
        <v>0</v>
      </c>
      <c r="O21" s="1654">
        <f t="shared" si="18"/>
        <v>0</v>
      </c>
      <c r="P21" s="1654">
        <f t="shared" si="18"/>
        <v>0</v>
      </c>
      <c r="Q21" s="1654">
        <f t="shared" si="18"/>
        <v>0</v>
      </c>
      <c r="R21" s="1654">
        <f t="shared" si="18"/>
        <v>0</v>
      </c>
      <c r="S21" s="1655">
        <f t="shared" si="18"/>
        <v>0</v>
      </c>
      <c r="T21" s="479"/>
      <c r="U21" s="288"/>
      <c r="V21" s="288"/>
      <c r="W21" s="288"/>
      <c r="X21" s="288"/>
      <c r="Y21" s="288"/>
      <c r="Z21" s="288"/>
      <c r="AA21" s="288"/>
      <c r="AB21" s="288"/>
      <c r="AC21" s="288"/>
    </row>
    <row r="22" spans="1:29" ht="12" customHeight="1" x14ac:dyDescent="0.3">
      <c r="A22" s="245"/>
      <c r="B22" s="2061" t="str">
        <f>B8</f>
        <v>Tramvaj</v>
      </c>
      <c r="C22" s="1647" t="str">
        <f t="shared" si="14"/>
        <v>Nehody</v>
      </c>
      <c r="D22" s="1659"/>
      <c r="E22" s="1347">
        <f t="shared" ref="E22:S22" si="19">E193*$E144*E$160</f>
        <v>0</v>
      </c>
      <c r="F22" s="1347">
        <f t="shared" si="19"/>
        <v>0</v>
      </c>
      <c r="G22" s="1347">
        <f t="shared" si="19"/>
        <v>0</v>
      </c>
      <c r="H22" s="1347">
        <f t="shared" si="19"/>
        <v>0</v>
      </c>
      <c r="I22" s="1347">
        <f t="shared" si="19"/>
        <v>0</v>
      </c>
      <c r="J22" s="1347">
        <f t="shared" si="19"/>
        <v>0</v>
      </c>
      <c r="K22" s="1347">
        <f t="shared" si="19"/>
        <v>0</v>
      </c>
      <c r="L22" s="1347">
        <f t="shared" si="19"/>
        <v>0</v>
      </c>
      <c r="M22" s="1347">
        <f t="shared" si="19"/>
        <v>0</v>
      </c>
      <c r="N22" s="1347">
        <f t="shared" si="19"/>
        <v>0</v>
      </c>
      <c r="O22" s="1347">
        <f t="shared" si="19"/>
        <v>0</v>
      </c>
      <c r="P22" s="1347">
        <f t="shared" si="19"/>
        <v>0</v>
      </c>
      <c r="Q22" s="1347">
        <f t="shared" si="19"/>
        <v>0</v>
      </c>
      <c r="R22" s="1347">
        <f t="shared" si="19"/>
        <v>0</v>
      </c>
      <c r="S22" s="1348">
        <f t="shared" si="19"/>
        <v>0</v>
      </c>
      <c r="T22" s="477"/>
      <c r="U22" s="236"/>
      <c r="V22" s="236"/>
      <c r="W22" s="236"/>
      <c r="X22" s="236"/>
      <c r="Y22" s="236"/>
      <c r="Z22" s="236"/>
      <c r="AA22" s="236"/>
      <c r="AB22" s="236"/>
      <c r="AC22" s="236"/>
    </row>
    <row r="23" spans="1:29" ht="12" customHeight="1" x14ac:dyDescent="0.3">
      <c r="A23" s="245"/>
      <c r="B23" s="2062"/>
      <c r="C23" s="1647" t="str">
        <f t="shared" si="14"/>
        <v>Hluk</v>
      </c>
      <c r="D23" s="1659"/>
      <c r="E23" s="1347">
        <f t="shared" ref="E23:S23" si="20">E194*$E145*E$160</f>
        <v>0</v>
      </c>
      <c r="F23" s="1347">
        <f t="shared" si="20"/>
        <v>0</v>
      </c>
      <c r="G23" s="1347">
        <f t="shared" si="20"/>
        <v>0</v>
      </c>
      <c r="H23" s="1347">
        <f t="shared" si="20"/>
        <v>0</v>
      </c>
      <c r="I23" s="1347">
        <f t="shared" si="20"/>
        <v>0</v>
      </c>
      <c r="J23" s="1347">
        <f t="shared" si="20"/>
        <v>0</v>
      </c>
      <c r="K23" s="1347">
        <f t="shared" si="20"/>
        <v>0</v>
      </c>
      <c r="L23" s="1347">
        <f t="shared" si="20"/>
        <v>0</v>
      </c>
      <c r="M23" s="1347">
        <f t="shared" si="20"/>
        <v>0</v>
      </c>
      <c r="N23" s="1347">
        <f t="shared" si="20"/>
        <v>0</v>
      </c>
      <c r="O23" s="1347">
        <f t="shared" si="20"/>
        <v>0</v>
      </c>
      <c r="P23" s="1347">
        <f t="shared" si="20"/>
        <v>0</v>
      </c>
      <c r="Q23" s="1347">
        <f t="shared" si="20"/>
        <v>0</v>
      </c>
      <c r="R23" s="1347">
        <f t="shared" si="20"/>
        <v>0</v>
      </c>
      <c r="S23" s="1348">
        <f t="shared" si="20"/>
        <v>0</v>
      </c>
      <c r="T23" s="477"/>
      <c r="U23" s="236"/>
      <c r="V23" s="236"/>
      <c r="W23" s="236"/>
      <c r="X23" s="236"/>
      <c r="Y23" s="236"/>
      <c r="Z23" s="236"/>
      <c r="AA23" s="236"/>
      <c r="AB23" s="236"/>
      <c r="AC23" s="236"/>
    </row>
    <row r="24" spans="1:29" s="289" customFormat="1" ht="12" customHeight="1" x14ac:dyDescent="0.3">
      <c r="A24" s="287"/>
      <c r="B24" s="2063" t="str">
        <f>B10</f>
        <v>Metro</v>
      </c>
      <c r="C24" s="1660" t="str">
        <f t="shared" si="14"/>
        <v>Nehody</v>
      </c>
      <c r="D24" s="1661"/>
      <c r="E24" s="1650">
        <f t="shared" ref="E24:S24" si="21">E195*$E146*E$160</f>
        <v>0</v>
      </c>
      <c r="F24" s="1650">
        <f t="shared" si="21"/>
        <v>0</v>
      </c>
      <c r="G24" s="1650">
        <f t="shared" si="21"/>
        <v>0</v>
      </c>
      <c r="H24" s="1650">
        <f t="shared" si="21"/>
        <v>0</v>
      </c>
      <c r="I24" s="1650">
        <f t="shared" si="21"/>
        <v>0</v>
      </c>
      <c r="J24" s="1650">
        <f t="shared" si="21"/>
        <v>0</v>
      </c>
      <c r="K24" s="1650">
        <f t="shared" si="21"/>
        <v>0</v>
      </c>
      <c r="L24" s="1650">
        <f t="shared" si="21"/>
        <v>0</v>
      </c>
      <c r="M24" s="1650">
        <f t="shared" si="21"/>
        <v>0</v>
      </c>
      <c r="N24" s="1650">
        <f t="shared" si="21"/>
        <v>0</v>
      </c>
      <c r="O24" s="1650">
        <f t="shared" si="21"/>
        <v>0</v>
      </c>
      <c r="P24" s="1650">
        <f t="shared" si="21"/>
        <v>0</v>
      </c>
      <c r="Q24" s="1650">
        <f t="shared" si="21"/>
        <v>0</v>
      </c>
      <c r="R24" s="1650">
        <f t="shared" si="21"/>
        <v>0</v>
      </c>
      <c r="S24" s="1651">
        <f t="shared" si="21"/>
        <v>0</v>
      </c>
      <c r="T24" s="479"/>
      <c r="U24" s="288"/>
      <c r="V24" s="288"/>
      <c r="W24" s="288"/>
      <c r="X24" s="288"/>
      <c r="Y24" s="288"/>
      <c r="Z24" s="288"/>
      <c r="AA24" s="288"/>
      <c r="AB24" s="288"/>
      <c r="AC24" s="288"/>
    </row>
    <row r="25" spans="1:29" s="289" customFormat="1" ht="12" customHeight="1" x14ac:dyDescent="0.3">
      <c r="A25" s="287"/>
      <c r="B25" s="2062"/>
      <c r="C25" s="1662" t="str">
        <f t="shared" si="14"/>
        <v>Hluk</v>
      </c>
      <c r="D25" s="1663"/>
      <c r="E25" s="1654">
        <f t="shared" ref="E25:S25" si="22">E196*$E147*E$160</f>
        <v>0</v>
      </c>
      <c r="F25" s="1654">
        <f t="shared" si="22"/>
        <v>0</v>
      </c>
      <c r="G25" s="1654">
        <f t="shared" si="22"/>
        <v>0</v>
      </c>
      <c r="H25" s="1654">
        <f t="shared" si="22"/>
        <v>0</v>
      </c>
      <c r="I25" s="1654">
        <f t="shared" si="22"/>
        <v>0</v>
      </c>
      <c r="J25" s="1654">
        <f t="shared" si="22"/>
        <v>0</v>
      </c>
      <c r="K25" s="1654">
        <f t="shared" si="22"/>
        <v>0</v>
      </c>
      <c r="L25" s="1654">
        <f t="shared" si="22"/>
        <v>0</v>
      </c>
      <c r="M25" s="1654">
        <f t="shared" si="22"/>
        <v>0</v>
      </c>
      <c r="N25" s="1654">
        <f t="shared" si="22"/>
        <v>0</v>
      </c>
      <c r="O25" s="1654">
        <f t="shared" si="22"/>
        <v>0</v>
      </c>
      <c r="P25" s="1654">
        <f t="shared" si="22"/>
        <v>0</v>
      </c>
      <c r="Q25" s="1654">
        <f t="shared" si="22"/>
        <v>0</v>
      </c>
      <c r="R25" s="1654">
        <f t="shared" si="22"/>
        <v>0</v>
      </c>
      <c r="S25" s="1655">
        <f t="shared" si="22"/>
        <v>0</v>
      </c>
      <c r="T25" s="479"/>
      <c r="U25" s="288"/>
      <c r="V25" s="288"/>
      <c r="W25" s="288"/>
      <c r="X25" s="288"/>
      <c r="Y25" s="288"/>
      <c r="Z25" s="288"/>
      <c r="AA25" s="288"/>
      <c r="AB25" s="288"/>
      <c r="AC25" s="288"/>
    </row>
    <row r="26" spans="1:29" s="289" customFormat="1" ht="12" customHeight="1" x14ac:dyDescent="0.3">
      <c r="A26" s="287"/>
      <c r="B26" s="2061" t="str">
        <f>B12</f>
        <v>IAD</v>
      </c>
      <c r="C26" s="1660" t="str">
        <f t="shared" si="14"/>
        <v>Nehody</v>
      </c>
      <c r="D26" s="1661"/>
      <c r="E26" s="1347">
        <f t="shared" ref="E26:S26" si="23">E197*$E148*E$160</f>
        <v>0</v>
      </c>
      <c r="F26" s="1347">
        <f t="shared" si="23"/>
        <v>0</v>
      </c>
      <c r="G26" s="1347">
        <f t="shared" si="23"/>
        <v>0</v>
      </c>
      <c r="H26" s="1347">
        <f t="shared" si="23"/>
        <v>0</v>
      </c>
      <c r="I26" s="1347">
        <f t="shared" si="23"/>
        <v>0</v>
      </c>
      <c r="J26" s="1347">
        <f t="shared" si="23"/>
        <v>0</v>
      </c>
      <c r="K26" s="1347">
        <f t="shared" si="23"/>
        <v>0</v>
      </c>
      <c r="L26" s="1347">
        <f t="shared" si="23"/>
        <v>0</v>
      </c>
      <c r="M26" s="1347">
        <f t="shared" si="23"/>
        <v>0</v>
      </c>
      <c r="N26" s="1347">
        <f t="shared" si="23"/>
        <v>0</v>
      </c>
      <c r="O26" s="1347">
        <f t="shared" si="23"/>
        <v>0</v>
      </c>
      <c r="P26" s="1347">
        <f t="shared" si="23"/>
        <v>0</v>
      </c>
      <c r="Q26" s="1347">
        <f t="shared" si="23"/>
        <v>0</v>
      </c>
      <c r="R26" s="1347">
        <f t="shared" si="23"/>
        <v>0</v>
      </c>
      <c r="S26" s="1348">
        <f t="shared" si="23"/>
        <v>0</v>
      </c>
      <c r="T26" s="479"/>
      <c r="U26" s="288"/>
      <c r="V26" s="288"/>
      <c r="W26" s="288"/>
      <c r="X26" s="288"/>
      <c r="Y26" s="288"/>
      <c r="Z26" s="288"/>
      <c r="AA26" s="288"/>
      <c r="AB26" s="288"/>
      <c r="AC26" s="288"/>
    </row>
    <row r="27" spans="1:29" s="289" customFormat="1" ht="14.25" x14ac:dyDescent="0.3">
      <c r="A27" s="287"/>
      <c r="B27" s="2062"/>
      <c r="C27" s="1662" t="str">
        <f t="shared" si="14"/>
        <v>Hluk</v>
      </c>
      <c r="D27" s="1663"/>
      <c r="E27" s="1347">
        <f t="shared" ref="E27:S27" si="24">E198*$E149*E$160</f>
        <v>0</v>
      </c>
      <c r="F27" s="1347">
        <f t="shared" si="24"/>
        <v>0</v>
      </c>
      <c r="G27" s="1347">
        <f t="shared" si="24"/>
        <v>0</v>
      </c>
      <c r="H27" s="1347">
        <f t="shared" si="24"/>
        <v>0</v>
      </c>
      <c r="I27" s="1347">
        <f t="shared" si="24"/>
        <v>0</v>
      </c>
      <c r="J27" s="1347">
        <f t="shared" si="24"/>
        <v>0</v>
      </c>
      <c r="K27" s="1347">
        <f t="shared" si="24"/>
        <v>0</v>
      </c>
      <c r="L27" s="1347">
        <f t="shared" si="24"/>
        <v>0</v>
      </c>
      <c r="M27" s="1347">
        <f t="shared" si="24"/>
        <v>0</v>
      </c>
      <c r="N27" s="1347">
        <f t="shared" si="24"/>
        <v>0</v>
      </c>
      <c r="O27" s="1347">
        <f t="shared" si="24"/>
        <v>0</v>
      </c>
      <c r="P27" s="1347">
        <f t="shared" si="24"/>
        <v>0</v>
      </c>
      <c r="Q27" s="1347">
        <f t="shared" si="24"/>
        <v>0</v>
      </c>
      <c r="R27" s="1347">
        <f t="shared" si="24"/>
        <v>0</v>
      </c>
      <c r="S27" s="1348">
        <f t="shared" si="24"/>
        <v>0</v>
      </c>
      <c r="T27" s="479"/>
      <c r="U27" s="288"/>
      <c r="V27" s="288"/>
      <c r="W27" s="288"/>
      <c r="X27" s="288"/>
      <c r="Y27" s="288"/>
      <c r="Z27" s="288"/>
      <c r="AA27" s="288"/>
      <c r="AB27" s="288"/>
      <c r="AC27" s="288"/>
    </row>
    <row r="28" spans="1:29" ht="15" thickBot="1" x14ac:dyDescent="0.35">
      <c r="A28" s="252"/>
      <c r="B28" s="582"/>
      <c r="C28" s="240" t="str">
        <f t="shared" si="14"/>
        <v>Celkové externí náklady</v>
      </c>
      <c r="D28" s="545"/>
      <c r="E28" s="481">
        <f t="shared" ref="E28:S28" si="25">SUM(E18:E27)</f>
        <v>0</v>
      </c>
      <c r="F28" s="481">
        <f t="shared" si="25"/>
        <v>0</v>
      </c>
      <c r="G28" s="481">
        <f t="shared" si="25"/>
        <v>0</v>
      </c>
      <c r="H28" s="481">
        <f t="shared" si="25"/>
        <v>0</v>
      </c>
      <c r="I28" s="481">
        <f t="shared" si="25"/>
        <v>0</v>
      </c>
      <c r="J28" s="481">
        <f t="shared" si="25"/>
        <v>0</v>
      </c>
      <c r="K28" s="481">
        <f t="shared" si="25"/>
        <v>0</v>
      </c>
      <c r="L28" s="481">
        <f t="shared" si="25"/>
        <v>0</v>
      </c>
      <c r="M28" s="481">
        <f t="shared" si="25"/>
        <v>0</v>
      </c>
      <c r="N28" s="481">
        <f t="shared" si="25"/>
        <v>0</v>
      </c>
      <c r="O28" s="481">
        <f t="shared" si="25"/>
        <v>0</v>
      </c>
      <c r="P28" s="481">
        <f t="shared" si="25"/>
        <v>0</v>
      </c>
      <c r="Q28" s="481">
        <f t="shared" si="25"/>
        <v>0</v>
      </c>
      <c r="R28" s="481">
        <f t="shared" si="25"/>
        <v>0</v>
      </c>
      <c r="S28" s="482">
        <f t="shared" si="25"/>
        <v>0</v>
      </c>
      <c r="T28" s="237"/>
      <c r="U28" s="237"/>
      <c r="V28" s="237"/>
      <c r="W28" s="237"/>
      <c r="X28" s="237"/>
      <c r="Y28" s="237"/>
      <c r="Z28" s="237"/>
      <c r="AA28" s="237"/>
      <c r="AB28" s="237"/>
      <c r="AC28" s="237"/>
    </row>
    <row r="29" spans="1:29" ht="14.25" thickBot="1" x14ac:dyDescent="0.35">
      <c r="A29" s="252"/>
      <c r="B29" s="609"/>
      <c r="C29" s="1356"/>
      <c r="D29" s="1167"/>
      <c r="E29" s="1166"/>
      <c r="F29" s="1166"/>
      <c r="G29" s="1166"/>
      <c r="H29" s="1166"/>
      <c r="I29" s="1166"/>
      <c r="J29" s="1166"/>
      <c r="K29" s="1166"/>
      <c r="L29" s="1166"/>
      <c r="M29" s="1166"/>
      <c r="N29" s="1166"/>
      <c r="O29" s="1166"/>
      <c r="P29" s="1166"/>
      <c r="Q29" s="1166"/>
      <c r="R29" s="1166"/>
      <c r="S29" s="1166"/>
      <c r="T29" s="237"/>
      <c r="U29" s="237"/>
      <c r="V29" s="237"/>
      <c r="W29" s="237"/>
      <c r="X29" s="237"/>
      <c r="Y29" s="237"/>
      <c r="Z29" s="237"/>
      <c r="AA29" s="237"/>
      <c r="AB29" s="237"/>
      <c r="AC29" s="237"/>
    </row>
    <row r="30" spans="1:29" ht="14.25" x14ac:dyDescent="0.3">
      <c r="A30" s="245"/>
      <c r="B30" s="291" t="s">
        <v>47</v>
      </c>
      <c r="C30" s="292" t="str">
        <f>C16</f>
        <v>Externí náklady (CZK)</v>
      </c>
      <c r="D30" s="293"/>
      <c r="E30" s="2119">
        <f>E2</f>
        <v>2026</v>
      </c>
      <c r="F30" s="2121">
        <f t="shared" ref="F30:S30" si="26">E30+1</f>
        <v>2027</v>
      </c>
      <c r="G30" s="2121">
        <f t="shared" si="26"/>
        <v>2028</v>
      </c>
      <c r="H30" s="2121">
        <f t="shared" si="26"/>
        <v>2029</v>
      </c>
      <c r="I30" s="2121">
        <f t="shared" si="26"/>
        <v>2030</v>
      </c>
      <c r="J30" s="2121">
        <f t="shared" si="26"/>
        <v>2031</v>
      </c>
      <c r="K30" s="2121">
        <f t="shared" si="26"/>
        <v>2032</v>
      </c>
      <c r="L30" s="2121">
        <f t="shared" si="26"/>
        <v>2033</v>
      </c>
      <c r="M30" s="2121">
        <f t="shared" si="26"/>
        <v>2034</v>
      </c>
      <c r="N30" s="2121">
        <f t="shared" si="26"/>
        <v>2035</v>
      </c>
      <c r="O30" s="2121">
        <f t="shared" si="26"/>
        <v>2036</v>
      </c>
      <c r="P30" s="2121">
        <f t="shared" si="26"/>
        <v>2037</v>
      </c>
      <c r="Q30" s="2121">
        <f t="shared" si="26"/>
        <v>2038</v>
      </c>
      <c r="R30" s="2121">
        <f t="shared" si="26"/>
        <v>2039</v>
      </c>
      <c r="S30" s="2123">
        <f t="shared" si="26"/>
        <v>2040</v>
      </c>
      <c r="T30" s="247"/>
      <c r="U30" s="247"/>
      <c r="V30" s="247"/>
      <c r="W30" s="247"/>
      <c r="X30" s="247"/>
      <c r="Y30" s="247"/>
      <c r="Z30" s="247"/>
      <c r="AA30" s="247"/>
      <c r="AB30" s="247"/>
      <c r="AC30" s="247"/>
    </row>
    <row r="31" spans="1:29" ht="15" thickBot="1" x14ac:dyDescent="0.35">
      <c r="A31" s="245"/>
      <c r="B31" s="294" t="s">
        <v>4</v>
      </c>
      <c r="C31" s="546" t="str">
        <f>IF('0 Úvod'!$M$10="English",Slovnik!$D$283,Slovnik!$C$283)</f>
        <v>Scénář bez projektu</v>
      </c>
      <c r="D31" s="295" t="str">
        <f>D3</f>
        <v>Celkem</v>
      </c>
      <c r="E31" s="2120"/>
      <c r="F31" s="2122"/>
      <c r="G31" s="2122"/>
      <c r="H31" s="2122"/>
      <c r="I31" s="2122"/>
      <c r="J31" s="2122"/>
      <c r="K31" s="2122"/>
      <c r="L31" s="2122"/>
      <c r="M31" s="2122"/>
      <c r="N31" s="2122"/>
      <c r="O31" s="2122"/>
      <c r="P31" s="2122"/>
      <c r="Q31" s="2122"/>
      <c r="R31" s="2122"/>
      <c r="S31" s="2124"/>
      <c r="T31" s="247"/>
      <c r="U31" s="247"/>
      <c r="V31" s="247"/>
      <c r="W31" s="247"/>
      <c r="X31" s="247"/>
      <c r="Y31" s="247"/>
      <c r="Z31" s="247"/>
      <c r="AA31" s="247"/>
      <c r="AB31" s="247"/>
      <c r="AC31" s="247"/>
    </row>
    <row r="32" spans="1:29" ht="12" customHeight="1" x14ac:dyDescent="0.3">
      <c r="A32" s="245"/>
      <c r="B32" s="2059" t="str">
        <f>B18</f>
        <v>BUS</v>
      </c>
      <c r="C32" s="1643" t="str">
        <f>C18</f>
        <v>Nehody</v>
      </c>
      <c r="D32" s="586">
        <f t="shared" ref="D32:D42" si="27">SUM(E32:S32,E46:S46)</f>
        <v>0</v>
      </c>
      <c r="E32" s="1644">
        <f t="shared" ref="E32:S32" si="28">E203*$E140*E$155</f>
        <v>0</v>
      </c>
      <c r="F32" s="1645">
        <f t="shared" si="28"/>
        <v>0</v>
      </c>
      <c r="G32" s="1645">
        <f t="shared" si="28"/>
        <v>0</v>
      </c>
      <c r="H32" s="1645">
        <f t="shared" si="28"/>
        <v>0</v>
      </c>
      <c r="I32" s="1645">
        <f t="shared" si="28"/>
        <v>0</v>
      </c>
      <c r="J32" s="1645">
        <f t="shared" si="28"/>
        <v>0</v>
      </c>
      <c r="K32" s="1645">
        <f t="shared" si="28"/>
        <v>0</v>
      </c>
      <c r="L32" s="1645">
        <f t="shared" si="28"/>
        <v>0</v>
      </c>
      <c r="M32" s="1645">
        <f t="shared" si="28"/>
        <v>0</v>
      </c>
      <c r="N32" s="1645">
        <f t="shared" si="28"/>
        <v>0</v>
      </c>
      <c r="O32" s="1645">
        <f t="shared" si="28"/>
        <v>0</v>
      </c>
      <c r="P32" s="1645">
        <f t="shared" si="28"/>
        <v>0</v>
      </c>
      <c r="Q32" s="1645">
        <f t="shared" si="28"/>
        <v>0</v>
      </c>
      <c r="R32" s="1645">
        <f t="shared" si="28"/>
        <v>0</v>
      </c>
      <c r="S32" s="1646">
        <f t="shared" si="28"/>
        <v>0</v>
      </c>
      <c r="T32" s="477"/>
      <c r="U32" s="236"/>
      <c r="V32" s="236"/>
      <c r="W32" s="236"/>
      <c r="X32" s="236"/>
      <c r="Y32" s="236"/>
      <c r="Z32" s="236"/>
      <c r="AA32" s="236"/>
      <c r="AB32" s="236"/>
      <c r="AC32" s="236"/>
    </row>
    <row r="33" spans="1:29" ht="12" customHeight="1" x14ac:dyDescent="0.3">
      <c r="A33" s="245"/>
      <c r="B33" s="2060"/>
      <c r="C33" s="1647" t="str">
        <f t="shared" ref="C33:C42" si="29">C19</f>
        <v>Hluk</v>
      </c>
      <c r="D33" s="587">
        <f t="shared" si="27"/>
        <v>0</v>
      </c>
      <c r="E33" s="1510">
        <f t="shared" ref="E33:S33" si="30">E204*$E141*E$155</f>
        <v>0</v>
      </c>
      <c r="F33" s="1347">
        <f t="shared" si="30"/>
        <v>0</v>
      </c>
      <c r="G33" s="1347">
        <f t="shared" si="30"/>
        <v>0</v>
      </c>
      <c r="H33" s="1347">
        <f t="shared" si="30"/>
        <v>0</v>
      </c>
      <c r="I33" s="1347">
        <f t="shared" si="30"/>
        <v>0</v>
      </c>
      <c r="J33" s="1347">
        <f t="shared" si="30"/>
        <v>0</v>
      </c>
      <c r="K33" s="1347">
        <f t="shared" si="30"/>
        <v>0</v>
      </c>
      <c r="L33" s="1347">
        <f t="shared" si="30"/>
        <v>0</v>
      </c>
      <c r="M33" s="1347">
        <f t="shared" si="30"/>
        <v>0</v>
      </c>
      <c r="N33" s="1347">
        <f t="shared" si="30"/>
        <v>0</v>
      </c>
      <c r="O33" s="1347">
        <f t="shared" si="30"/>
        <v>0</v>
      </c>
      <c r="P33" s="1347">
        <f t="shared" si="30"/>
        <v>0</v>
      </c>
      <c r="Q33" s="1347">
        <f t="shared" si="30"/>
        <v>0</v>
      </c>
      <c r="R33" s="1347">
        <f t="shared" si="30"/>
        <v>0</v>
      </c>
      <c r="S33" s="1348">
        <f t="shared" si="30"/>
        <v>0</v>
      </c>
      <c r="T33" s="477"/>
      <c r="U33" s="236"/>
      <c r="V33" s="236"/>
      <c r="W33" s="236"/>
      <c r="X33" s="236"/>
      <c r="Y33" s="236"/>
      <c r="Z33" s="236"/>
      <c r="AA33" s="236"/>
      <c r="AB33" s="236"/>
      <c r="AC33" s="236"/>
    </row>
    <row r="34" spans="1:29" s="289" customFormat="1" ht="12" customHeight="1" x14ac:dyDescent="0.3">
      <c r="A34" s="287"/>
      <c r="B34" s="2061" t="str">
        <f>B20</f>
        <v>Trolejbus</v>
      </c>
      <c r="C34" s="1648" t="str">
        <f t="shared" si="29"/>
        <v>Nehody</v>
      </c>
      <c r="D34" s="588">
        <f t="shared" si="27"/>
        <v>0</v>
      </c>
      <c r="E34" s="1649">
        <f t="shared" ref="E34:S34" si="31">E205*$E142*E$155</f>
        <v>0</v>
      </c>
      <c r="F34" s="1650">
        <f t="shared" si="31"/>
        <v>0</v>
      </c>
      <c r="G34" s="1650">
        <f t="shared" si="31"/>
        <v>0</v>
      </c>
      <c r="H34" s="1650">
        <f t="shared" si="31"/>
        <v>0</v>
      </c>
      <c r="I34" s="1650">
        <f t="shared" si="31"/>
        <v>0</v>
      </c>
      <c r="J34" s="1650">
        <f t="shared" si="31"/>
        <v>0</v>
      </c>
      <c r="K34" s="1650">
        <f t="shared" si="31"/>
        <v>0</v>
      </c>
      <c r="L34" s="1650">
        <f t="shared" si="31"/>
        <v>0</v>
      </c>
      <c r="M34" s="1650">
        <f t="shared" si="31"/>
        <v>0</v>
      </c>
      <c r="N34" s="1650">
        <f t="shared" si="31"/>
        <v>0</v>
      </c>
      <c r="O34" s="1650">
        <f t="shared" si="31"/>
        <v>0</v>
      </c>
      <c r="P34" s="1650">
        <f t="shared" si="31"/>
        <v>0</v>
      </c>
      <c r="Q34" s="1650">
        <f t="shared" si="31"/>
        <v>0</v>
      </c>
      <c r="R34" s="1650">
        <f t="shared" si="31"/>
        <v>0</v>
      </c>
      <c r="S34" s="1651">
        <f t="shared" si="31"/>
        <v>0</v>
      </c>
      <c r="T34" s="479"/>
      <c r="U34" s="288"/>
      <c r="V34" s="288"/>
      <c r="W34" s="288"/>
      <c r="X34" s="288"/>
      <c r="Y34" s="288"/>
      <c r="Z34" s="288"/>
      <c r="AA34" s="288"/>
      <c r="AB34" s="288"/>
      <c r="AC34" s="288"/>
    </row>
    <row r="35" spans="1:29" s="289" customFormat="1" ht="12" customHeight="1" x14ac:dyDescent="0.3">
      <c r="A35" s="287"/>
      <c r="B35" s="2062"/>
      <c r="C35" s="1652" t="str">
        <f t="shared" si="29"/>
        <v>Hluk</v>
      </c>
      <c r="D35" s="589">
        <f t="shared" si="27"/>
        <v>0</v>
      </c>
      <c r="E35" s="1653">
        <f t="shared" ref="E35:S35" si="32">E206*$E143*E$155</f>
        <v>0</v>
      </c>
      <c r="F35" s="1654">
        <f t="shared" si="32"/>
        <v>0</v>
      </c>
      <c r="G35" s="1654">
        <f t="shared" si="32"/>
        <v>0</v>
      </c>
      <c r="H35" s="1654">
        <f t="shared" si="32"/>
        <v>0</v>
      </c>
      <c r="I35" s="1654">
        <f t="shared" si="32"/>
        <v>0</v>
      </c>
      <c r="J35" s="1654">
        <f t="shared" si="32"/>
        <v>0</v>
      </c>
      <c r="K35" s="1654">
        <f t="shared" si="32"/>
        <v>0</v>
      </c>
      <c r="L35" s="1654">
        <f t="shared" si="32"/>
        <v>0</v>
      </c>
      <c r="M35" s="1654">
        <f t="shared" si="32"/>
        <v>0</v>
      </c>
      <c r="N35" s="1654">
        <f t="shared" si="32"/>
        <v>0</v>
      </c>
      <c r="O35" s="1654">
        <f t="shared" si="32"/>
        <v>0</v>
      </c>
      <c r="P35" s="1654">
        <f t="shared" si="32"/>
        <v>0</v>
      </c>
      <c r="Q35" s="1654">
        <f t="shared" si="32"/>
        <v>0</v>
      </c>
      <c r="R35" s="1654">
        <f t="shared" si="32"/>
        <v>0</v>
      </c>
      <c r="S35" s="1655">
        <f t="shared" si="32"/>
        <v>0</v>
      </c>
      <c r="T35" s="479"/>
      <c r="U35" s="288"/>
      <c r="V35" s="288"/>
      <c r="W35" s="288"/>
      <c r="X35" s="288"/>
      <c r="Y35" s="288"/>
      <c r="Z35" s="288"/>
      <c r="AA35" s="288"/>
      <c r="AB35" s="288"/>
      <c r="AC35" s="288"/>
    </row>
    <row r="36" spans="1:29" ht="12" customHeight="1" x14ac:dyDescent="0.3">
      <c r="A36" s="245"/>
      <c r="B36" s="2061" t="str">
        <f>B22</f>
        <v>Tramvaj</v>
      </c>
      <c r="C36" s="1647" t="str">
        <f t="shared" si="29"/>
        <v>Nehody</v>
      </c>
      <c r="D36" s="587">
        <f t="shared" si="27"/>
        <v>0</v>
      </c>
      <c r="E36" s="1510">
        <f t="shared" ref="E36:S36" si="33">E207*$E144*E$155</f>
        <v>0</v>
      </c>
      <c r="F36" s="1347">
        <f t="shared" si="33"/>
        <v>0</v>
      </c>
      <c r="G36" s="1347">
        <f t="shared" si="33"/>
        <v>0</v>
      </c>
      <c r="H36" s="1347">
        <f t="shared" si="33"/>
        <v>0</v>
      </c>
      <c r="I36" s="1347">
        <f t="shared" si="33"/>
        <v>0</v>
      </c>
      <c r="J36" s="1347">
        <f t="shared" si="33"/>
        <v>0</v>
      </c>
      <c r="K36" s="1347">
        <f t="shared" si="33"/>
        <v>0</v>
      </c>
      <c r="L36" s="1347">
        <f t="shared" si="33"/>
        <v>0</v>
      </c>
      <c r="M36" s="1347">
        <f t="shared" si="33"/>
        <v>0</v>
      </c>
      <c r="N36" s="1347">
        <f t="shared" si="33"/>
        <v>0</v>
      </c>
      <c r="O36" s="1347">
        <f t="shared" si="33"/>
        <v>0</v>
      </c>
      <c r="P36" s="1347">
        <f t="shared" si="33"/>
        <v>0</v>
      </c>
      <c r="Q36" s="1347">
        <f t="shared" si="33"/>
        <v>0</v>
      </c>
      <c r="R36" s="1347">
        <f t="shared" si="33"/>
        <v>0</v>
      </c>
      <c r="S36" s="1348">
        <f t="shared" si="33"/>
        <v>0</v>
      </c>
      <c r="T36" s="477"/>
      <c r="U36" s="236"/>
      <c r="V36" s="236"/>
      <c r="W36" s="236"/>
      <c r="X36" s="236"/>
      <c r="Y36" s="236"/>
      <c r="Z36" s="236"/>
      <c r="AA36" s="236"/>
      <c r="AB36" s="236"/>
      <c r="AC36" s="236"/>
    </row>
    <row r="37" spans="1:29" ht="12" customHeight="1" x14ac:dyDescent="0.3">
      <c r="A37" s="245"/>
      <c r="B37" s="2062"/>
      <c r="C37" s="1647" t="str">
        <f t="shared" si="29"/>
        <v>Hluk</v>
      </c>
      <c r="D37" s="587">
        <f t="shared" si="27"/>
        <v>0</v>
      </c>
      <c r="E37" s="1510">
        <f t="shared" ref="E37:S37" si="34">E208*$E145*E$155</f>
        <v>0</v>
      </c>
      <c r="F37" s="1347">
        <f t="shared" si="34"/>
        <v>0</v>
      </c>
      <c r="G37" s="1347">
        <f t="shared" si="34"/>
        <v>0</v>
      </c>
      <c r="H37" s="1347">
        <f t="shared" si="34"/>
        <v>0</v>
      </c>
      <c r="I37" s="1347">
        <f t="shared" si="34"/>
        <v>0</v>
      </c>
      <c r="J37" s="1347">
        <f t="shared" si="34"/>
        <v>0</v>
      </c>
      <c r="K37" s="1347">
        <f t="shared" si="34"/>
        <v>0</v>
      </c>
      <c r="L37" s="1347">
        <f t="shared" si="34"/>
        <v>0</v>
      </c>
      <c r="M37" s="1347">
        <f t="shared" si="34"/>
        <v>0</v>
      </c>
      <c r="N37" s="1347">
        <f t="shared" si="34"/>
        <v>0</v>
      </c>
      <c r="O37" s="1347">
        <f t="shared" si="34"/>
        <v>0</v>
      </c>
      <c r="P37" s="1347">
        <f t="shared" si="34"/>
        <v>0</v>
      </c>
      <c r="Q37" s="1347">
        <f t="shared" si="34"/>
        <v>0</v>
      </c>
      <c r="R37" s="1347">
        <f t="shared" si="34"/>
        <v>0</v>
      </c>
      <c r="S37" s="1348">
        <f t="shared" si="34"/>
        <v>0</v>
      </c>
      <c r="T37" s="477"/>
      <c r="U37" s="236"/>
      <c r="V37" s="236"/>
      <c r="W37" s="236"/>
      <c r="X37" s="236"/>
      <c r="Y37" s="236"/>
      <c r="Z37" s="236"/>
      <c r="AA37" s="236"/>
      <c r="AB37" s="236"/>
      <c r="AC37" s="236"/>
    </row>
    <row r="38" spans="1:29" s="289" customFormat="1" ht="12" customHeight="1" x14ac:dyDescent="0.3">
      <c r="A38" s="287"/>
      <c r="B38" s="2063" t="str">
        <f>B24</f>
        <v>Metro</v>
      </c>
      <c r="C38" s="1648" t="str">
        <f t="shared" si="29"/>
        <v>Nehody</v>
      </c>
      <c r="D38" s="588">
        <f t="shared" si="27"/>
        <v>0</v>
      </c>
      <c r="E38" s="1649">
        <f t="shared" ref="E38:S38" si="35">E209*$E146*E$155</f>
        <v>0</v>
      </c>
      <c r="F38" s="1650">
        <f t="shared" si="35"/>
        <v>0</v>
      </c>
      <c r="G38" s="1650">
        <f t="shared" si="35"/>
        <v>0</v>
      </c>
      <c r="H38" s="1650">
        <f t="shared" si="35"/>
        <v>0</v>
      </c>
      <c r="I38" s="1650">
        <f t="shared" si="35"/>
        <v>0</v>
      </c>
      <c r="J38" s="1650">
        <f t="shared" si="35"/>
        <v>0</v>
      </c>
      <c r="K38" s="1650">
        <f t="shared" si="35"/>
        <v>0</v>
      </c>
      <c r="L38" s="1650">
        <f t="shared" si="35"/>
        <v>0</v>
      </c>
      <c r="M38" s="1650">
        <f t="shared" si="35"/>
        <v>0</v>
      </c>
      <c r="N38" s="1650">
        <f t="shared" si="35"/>
        <v>0</v>
      </c>
      <c r="O38" s="1650">
        <f t="shared" si="35"/>
        <v>0</v>
      </c>
      <c r="P38" s="1650">
        <f t="shared" si="35"/>
        <v>0</v>
      </c>
      <c r="Q38" s="1650">
        <f t="shared" si="35"/>
        <v>0</v>
      </c>
      <c r="R38" s="1650">
        <f t="shared" si="35"/>
        <v>0</v>
      </c>
      <c r="S38" s="1651">
        <f t="shared" si="35"/>
        <v>0</v>
      </c>
      <c r="T38" s="479"/>
      <c r="U38" s="288"/>
      <c r="V38" s="288"/>
      <c r="W38" s="288"/>
      <c r="X38" s="288"/>
      <c r="Y38" s="288"/>
      <c r="Z38" s="288"/>
      <c r="AA38" s="288"/>
      <c r="AB38" s="288"/>
      <c r="AC38" s="288"/>
    </row>
    <row r="39" spans="1:29" s="289" customFormat="1" ht="12" customHeight="1" x14ac:dyDescent="0.3">
      <c r="A39" s="287"/>
      <c r="B39" s="2062"/>
      <c r="C39" s="1652" t="str">
        <f t="shared" si="29"/>
        <v>Hluk</v>
      </c>
      <c r="D39" s="589">
        <f t="shared" si="27"/>
        <v>0</v>
      </c>
      <c r="E39" s="1653">
        <f t="shared" ref="E39:S39" si="36">E210*$E147*E$155</f>
        <v>0</v>
      </c>
      <c r="F39" s="1654">
        <f t="shared" si="36"/>
        <v>0</v>
      </c>
      <c r="G39" s="1654">
        <f t="shared" si="36"/>
        <v>0</v>
      </c>
      <c r="H39" s="1654">
        <f t="shared" si="36"/>
        <v>0</v>
      </c>
      <c r="I39" s="1654">
        <f t="shared" si="36"/>
        <v>0</v>
      </c>
      <c r="J39" s="1654">
        <f t="shared" si="36"/>
        <v>0</v>
      </c>
      <c r="K39" s="1654">
        <f t="shared" si="36"/>
        <v>0</v>
      </c>
      <c r="L39" s="1654">
        <f t="shared" si="36"/>
        <v>0</v>
      </c>
      <c r="M39" s="1654">
        <f t="shared" si="36"/>
        <v>0</v>
      </c>
      <c r="N39" s="1654">
        <f t="shared" si="36"/>
        <v>0</v>
      </c>
      <c r="O39" s="1654">
        <f t="shared" si="36"/>
        <v>0</v>
      </c>
      <c r="P39" s="1654">
        <f t="shared" si="36"/>
        <v>0</v>
      </c>
      <c r="Q39" s="1654">
        <f t="shared" si="36"/>
        <v>0</v>
      </c>
      <c r="R39" s="1654">
        <f t="shared" si="36"/>
        <v>0</v>
      </c>
      <c r="S39" s="1655">
        <f t="shared" si="36"/>
        <v>0</v>
      </c>
      <c r="T39" s="479"/>
      <c r="U39" s="288"/>
      <c r="V39" s="288"/>
      <c r="W39" s="288"/>
      <c r="X39" s="288"/>
      <c r="Y39" s="288"/>
      <c r="Z39" s="288"/>
      <c r="AA39" s="288"/>
      <c r="AB39" s="288"/>
      <c r="AC39" s="288"/>
    </row>
    <row r="40" spans="1:29" s="289" customFormat="1" ht="12" customHeight="1" x14ac:dyDescent="0.3">
      <c r="A40" s="287"/>
      <c r="B40" s="2061" t="str">
        <f>B26</f>
        <v>IAD</v>
      </c>
      <c r="C40" s="1648" t="str">
        <f t="shared" si="29"/>
        <v>Nehody</v>
      </c>
      <c r="D40" s="588">
        <f t="shared" si="27"/>
        <v>0</v>
      </c>
      <c r="E40" s="1510">
        <f t="shared" ref="E40:S40" si="37">E211*$E148*E$155</f>
        <v>0</v>
      </c>
      <c r="F40" s="1347">
        <f t="shared" si="37"/>
        <v>0</v>
      </c>
      <c r="G40" s="1347">
        <f t="shared" si="37"/>
        <v>0</v>
      </c>
      <c r="H40" s="1347">
        <f t="shared" si="37"/>
        <v>0</v>
      </c>
      <c r="I40" s="1347">
        <f t="shared" si="37"/>
        <v>0</v>
      </c>
      <c r="J40" s="1347">
        <f t="shared" si="37"/>
        <v>0</v>
      </c>
      <c r="K40" s="1347">
        <f t="shared" si="37"/>
        <v>0</v>
      </c>
      <c r="L40" s="1347">
        <f t="shared" si="37"/>
        <v>0</v>
      </c>
      <c r="M40" s="1347">
        <f t="shared" si="37"/>
        <v>0</v>
      </c>
      <c r="N40" s="1347">
        <f t="shared" si="37"/>
        <v>0</v>
      </c>
      <c r="O40" s="1347">
        <f t="shared" si="37"/>
        <v>0</v>
      </c>
      <c r="P40" s="1347">
        <f t="shared" si="37"/>
        <v>0</v>
      </c>
      <c r="Q40" s="1347">
        <f t="shared" si="37"/>
        <v>0</v>
      </c>
      <c r="R40" s="1347">
        <f t="shared" si="37"/>
        <v>0</v>
      </c>
      <c r="S40" s="1348">
        <f t="shared" si="37"/>
        <v>0</v>
      </c>
      <c r="T40" s="479"/>
      <c r="U40" s="288"/>
      <c r="V40" s="288"/>
      <c r="W40" s="288"/>
      <c r="X40" s="288"/>
      <c r="Y40" s="288"/>
      <c r="Z40" s="288"/>
      <c r="AA40" s="288"/>
      <c r="AB40" s="288"/>
      <c r="AC40" s="288"/>
    </row>
    <row r="41" spans="1:29" s="289" customFormat="1" ht="12" customHeight="1" x14ac:dyDescent="0.3">
      <c r="A41" s="287"/>
      <c r="B41" s="2062"/>
      <c r="C41" s="1652" t="str">
        <f t="shared" si="29"/>
        <v>Hluk</v>
      </c>
      <c r="D41" s="589">
        <f t="shared" si="27"/>
        <v>0</v>
      </c>
      <c r="E41" s="1510">
        <f t="shared" ref="E41:S41" si="38">E212*$E149*E$155</f>
        <v>0</v>
      </c>
      <c r="F41" s="1347">
        <f t="shared" si="38"/>
        <v>0</v>
      </c>
      <c r="G41" s="1347">
        <f t="shared" si="38"/>
        <v>0</v>
      </c>
      <c r="H41" s="1347">
        <f t="shared" si="38"/>
        <v>0</v>
      </c>
      <c r="I41" s="1347">
        <f t="shared" si="38"/>
        <v>0</v>
      </c>
      <c r="J41" s="1347">
        <f t="shared" si="38"/>
        <v>0</v>
      </c>
      <c r="K41" s="1347">
        <f t="shared" si="38"/>
        <v>0</v>
      </c>
      <c r="L41" s="1347">
        <f t="shared" si="38"/>
        <v>0</v>
      </c>
      <c r="M41" s="1347">
        <f t="shared" si="38"/>
        <v>0</v>
      </c>
      <c r="N41" s="1347">
        <f t="shared" si="38"/>
        <v>0</v>
      </c>
      <c r="O41" s="1347">
        <f t="shared" si="38"/>
        <v>0</v>
      </c>
      <c r="P41" s="1347">
        <f t="shared" si="38"/>
        <v>0</v>
      </c>
      <c r="Q41" s="1347">
        <f t="shared" si="38"/>
        <v>0</v>
      </c>
      <c r="R41" s="1347">
        <f t="shared" si="38"/>
        <v>0</v>
      </c>
      <c r="S41" s="1348">
        <f t="shared" si="38"/>
        <v>0</v>
      </c>
      <c r="T41" s="479"/>
      <c r="U41" s="288"/>
      <c r="V41" s="288"/>
      <c r="W41" s="288"/>
      <c r="X41" s="288"/>
      <c r="Y41" s="288"/>
      <c r="Z41" s="288"/>
      <c r="AA41" s="288"/>
      <c r="AB41" s="288"/>
      <c r="AC41" s="288"/>
    </row>
    <row r="42" spans="1:29" ht="12.75" customHeight="1" thickBot="1" x14ac:dyDescent="0.35">
      <c r="A42" s="245"/>
      <c r="B42" s="244"/>
      <c r="C42" s="243" t="str">
        <f t="shared" si="29"/>
        <v>Celkové externí náklady</v>
      </c>
      <c r="D42" s="273">
        <f t="shared" si="27"/>
        <v>0</v>
      </c>
      <c r="E42" s="483">
        <f t="shared" ref="E42:S42" si="39">SUM(E32:E41)</f>
        <v>0</v>
      </c>
      <c r="F42" s="484">
        <f t="shared" si="39"/>
        <v>0</v>
      </c>
      <c r="G42" s="484">
        <f t="shared" si="39"/>
        <v>0</v>
      </c>
      <c r="H42" s="484">
        <f t="shared" si="39"/>
        <v>0</v>
      </c>
      <c r="I42" s="484">
        <f t="shared" si="39"/>
        <v>0</v>
      </c>
      <c r="J42" s="484">
        <f t="shared" si="39"/>
        <v>0</v>
      </c>
      <c r="K42" s="484">
        <f t="shared" si="39"/>
        <v>0</v>
      </c>
      <c r="L42" s="484">
        <f t="shared" si="39"/>
        <v>0</v>
      </c>
      <c r="M42" s="484">
        <f t="shared" si="39"/>
        <v>0</v>
      </c>
      <c r="N42" s="484">
        <f t="shared" si="39"/>
        <v>0</v>
      </c>
      <c r="O42" s="484">
        <f t="shared" si="39"/>
        <v>0</v>
      </c>
      <c r="P42" s="484">
        <f t="shared" si="39"/>
        <v>0</v>
      </c>
      <c r="Q42" s="484">
        <f t="shared" si="39"/>
        <v>0</v>
      </c>
      <c r="R42" s="484">
        <f t="shared" si="39"/>
        <v>0</v>
      </c>
      <c r="S42" s="485">
        <f t="shared" si="39"/>
        <v>0</v>
      </c>
      <c r="T42" s="237"/>
      <c r="U42" s="237"/>
      <c r="V42" s="237"/>
      <c r="W42" s="237"/>
      <c r="X42" s="237"/>
      <c r="Y42" s="237"/>
      <c r="Z42" s="237"/>
      <c r="AA42" s="237"/>
      <c r="AB42" s="237"/>
      <c r="AC42" s="237"/>
    </row>
    <row r="43" spans="1:29" ht="12.75" customHeight="1" thickBot="1" x14ac:dyDescent="0.35">
      <c r="A43" s="245"/>
      <c r="B43" s="1349"/>
      <c r="C43" s="1165"/>
      <c r="D43" s="1167"/>
      <c r="E43" s="1167"/>
      <c r="F43" s="1167"/>
      <c r="G43" s="1167"/>
      <c r="H43" s="1167"/>
      <c r="I43" s="1167"/>
      <c r="J43" s="1167"/>
      <c r="K43" s="1167"/>
      <c r="L43" s="1167"/>
      <c r="M43" s="1167"/>
      <c r="N43" s="1167"/>
      <c r="O43" s="1167"/>
      <c r="P43" s="1167"/>
      <c r="Q43" s="1167"/>
      <c r="R43" s="1167"/>
      <c r="S43" s="1167"/>
      <c r="T43" s="236"/>
      <c r="U43" s="236"/>
      <c r="V43" s="236"/>
      <c r="W43" s="236"/>
      <c r="X43" s="236"/>
      <c r="Y43" s="236"/>
      <c r="Z43" s="236"/>
      <c r="AA43" s="236"/>
      <c r="AB43" s="236"/>
      <c r="AC43" s="236"/>
    </row>
    <row r="44" spans="1:29" ht="12.75" customHeight="1" x14ac:dyDescent="0.3">
      <c r="A44" s="245"/>
      <c r="B44" s="291" t="str">
        <f>B30</f>
        <v>9.2.</v>
      </c>
      <c r="C44" s="292" t="str">
        <f>C30</f>
        <v>Externí náklady (CZK)</v>
      </c>
      <c r="D44" s="296"/>
      <c r="E44" s="2119">
        <f>S30+1</f>
        <v>2041</v>
      </c>
      <c r="F44" s="2121">
        <f t="shared" ref="F44:S44" si="40">E44+1</f>
        <v>2042</v>
      </c>
      <c r="G44" s="2121">
        <f t="shared" si="40"/>
        <v>2043</v>
      </c>
      <c r="H44" s="2121">
        <f t="shared" si="40"/>
        <v>2044</v>
      </c>
      <c r="I44" s="2121">
        <f t="shared" si="40"/>
        <v>2045</v>
      </c>
      <c r="J44" s="2121">
        <f t="shared" si="40"/>
        <v>2046</v>
      </c>
      <c r="K44" s="2121">
        <f t="shared" si="40"/>
        <v>2047</v>
      </c>
      <c r="L44" s="2121">
        <f t="shared" si="40"/>
        <v>2048</v>
      </c>
      <c r="M44" s="2121">
        <f t="shared" si="40"/>
        <v>2049</v>
      </c>
      <c r="N44" s="2121">
        <f t="shared" si="40"/>
        <v>2050</v>
      </c>
      <c r="O44" s="2121">
        <f t="shared" si="40"/>
        <v>2051</v>
      </c>
      <c r="P44" s="2121">
        <f t="shared" si="40"/>
        <v>2052</v>
      </c>
      <c r="Q44" s="2121">
        <f t="shared" si="40"/>
        <v>2053</v>
      </c>
      <c r="R44" s="2121">
        <f t="shared" si="40"/>
        <v>2054</v>
      </c>
      <c r="S44" s="2123">
        <f t="shared" si="40"/>
        <v>2055</v>
      </c>
      <c r="T44" s="247"/>
      <c r="U44" s="247"/>
      <c r="V44" s="247"/>
      <c r="W44" s="247"/>
      <c r="X44" s="247"/>
      <c r="Y44" s="247"/>
      <c r="Z44" s="247"/>
      <c r="AA44" s="247"/>
      <c r="AB44" s="247"/>
      <c r="AC44" s="247"/>
    </row>
    <row r="45" spans="1:29" ht="12.75" customHeight="1" thickBot="1" x14ac:dyDescent="0.35">
      <c r="A45" s="245"/>
      <c r="B45" s="294" t="s">
        <v>5</v>
      </c>
      <c r="C45" s="546" t="str">
        <f t="shared" ref="C45:C56" si="41">C31</f>
        <v>Scénář bez projektu</v>
      </c>
      <c r="D45" s="547"/>
      <c r="E45" s="2120">
        <f>S31+1</f>
        <v>1</v>
      </c>
      <c r="F45" s="2122"/>
      <c r="G45" s="2122"/>
      <c r="H45" s="2122"/>
      <c r="I45" s="2122"/>
      <c r="J45" s="2122"/>
      <c r="K45" s="2122"/>
      <c r="L45" s="2122"/>
      <c r="M45" s="2122"/>
      <c r="N45" s="2122"/>
      <c r="O45" s="2122"/>
      <c r="P45" s="2122"/>
      <c r="Q45" s="2122"/>
      <c r="R45" s="2122"/>
      <c r="S45" s="2124"/>
      <c r="T45" s="247"/>
      <c r="U45" s="247"/>
      <c r="V45" s="247"/>
      <c r="W45" s="247"/>
      <c r="X45" s="247"/>
      <c r="Y45" s="247"/>
      <c r="Z45" s="247"/>
      <c r="AA45" s="247"/>
      <c r="AB45" s="247"/>
      <c r="AC45" s="247"/>
    </row>
    <row r="46" spans="1:29" ht="12.75" customHeight="1" x14ac:dyDescent="0.3">
      <c r="A46" s="245"/>
      <c r="B46" s="2059" t="str">
        <f>B32</f>
        <v>BUS</v>
      </c>
      <c r="C46" s="1643" t="str">
        <f t="shared" si="41"/>
        <v>Nehody</v>
      </c>
      <c r="D46" s="1658"/>
      <c r="E46" s="1645">
        <f t="shared" ref="E46:S46" si="42">E217*$E140*E$160</f>
        <v>0</v>
      </c>
      <c r="F46" s="1645">
        <f t="shared" si="42"/>
        <v>0</v>
      </c>
      <c r="G46" s="1645">
        <f t="shared" si="42"/>
        <v>0</v>
      </c>
      <c r="H46" s="1645">
        <f t="shared" si="42"/>
        <v>0</v>
      </c>
      <c r="I46" s="1645">
        <f t="shared" si="42"/>
        <v>0</v>
      </c>
      <c r="J46" s="1645">
        <f t="shared" si="42"/>
        <v>0</v>
      </c>
      <c r="K46" s="1645">
        <f t="shared" si="42"/>
        <v>0</v>
      </c>
      <c r="L46" s="1645">
        <f t="shared" si="42"/>
        <v>0</v>
      </c>
      <c r="M46" s="1645">
        <f t="shared" si="42"/>
        <v>0</v>
      </c>
      <c r="N46" s="1645">
        <f t="shared" si="42"/>
        <v>0</v>
      </c>
      <c r="O46" s="1645">
        <f t="shared" si="42"/>
        <v>0</v>
      </c>
      <c r="P46" s="1645">
        <f t="shared" si="42"/>
        <v>0</v>
      </c>
      <c r="Q46" s="1645">
        <f t="shared" si="42"/>
        <v>0</v>
      </c>
      <c r="R46" s="1645">
        <f t="shared" si="42"/>
        <v>0</v>
      </c>
      <c r="S46" s="1646">
        <f t="shared" si="42"/>
        <v>0</v>
      </c>
      <c r="T46" s="477"/>
      <c r="U46" s="236"/>
      <c r="V46" s="236"/>
      <c r="W46" s="236"/>
      <c r="X46" s="236"/>
      <c r="Y46" s="236"/>
      <c r="Z46" s="236"/>
      <c r="AA46" s="236"/>
      <c r="AB46" s="236"/>
      <c r="AC46" s="236"/>
    </row>
    <row r="47" spans="1:29" ht="12.75" customHeight="1" x14ac:dyDescent="0.3">
      <c r="A47" s="245"/>
      <c r="B47" s="2060"/>
      <c r="C47" s="1647" t="str">
        <f t="shared" si="41"/>
        <v>Hluk</v>
      </c>
      <c r="D47" s="1659"/>
      <c r="E47" s="1347">
        <f t="shared" ref="E47:S47" si="43">E218*$E141*E$160</f>
        <v>0</v>
      </c>
      <c r="F47" s="1347">
        <f t="shared" si="43"/>
        <v>0</v>
      </c>
      <c r="G47" s="1347">
        <f t="shared" si="43"/>
        <v>0</v>
      </c>
      <c r="H47" s="1347">
        <f t="shared" si="43"/>
        <v>0</v>
      </c>
      <c r="I47" s="1347">
        <f t="shared" si="43"/>
        <v>0</v>
      </c>
      <c r="J47" s="1347">
        <f t="shared" si="43"/>
        <v>0</v>
      </c>
      <c r="K47" s="1347">
        <f t="shared" si="43"/>
        <v>0</v>
      </c>
      <c r="L47" s="1347">
        <f t="shared" si="43"/>
        <v>0</v>
      </c>
      <c r="M47" s="1347">
        <f t="shared" si="43"/>
        <v>0</v>
      </c>
      <c r="N47" s="1347">
        <f t="shared" si="43"/>
        <v>0</v>
      </c>
      <c r="O47" s="1347">
        <f t="shared" si="43"/>
        <v>0</v>
      </c>
      <c r="P47" s="1347">
        <f t="shared" si="43"/>
        <v>0</v>
      </c>
      <c r="Q47" s="1347">
        <f t="shared" si="43"/>
        <v>0</v>
      </c>
      <c r="R47" s="1347">
        <f t="shared" si="43"/>
        <v>0</v>
      </c>
      <c r="S47" s="1348">
        <f t="shared" si="43"/>
        <v>0</v>
      </c>
      <c r="T47" s="477"/>
      <c r="U47" s="236"/>
      <c r="V47" s="236"/>
      <c r="W47" s="236"/>
      <c r="X47" s="236"/>
      <c r="Y47" s="236"/>
      <c r="Z47" s="236"/>
      <c r="AA47" s="236"/>
      <c r="AB47" s="236"/>
      <c r="AC47" s="236"/>
    </row>
    <row r="48" spans="1:29" s="289" customFormat="1" ht="12.75" customHeight="1" x14ac:dyDescent="0.3">
      <c r="A48" s="287"/>
      <c r="B48" s="2061" t="str">
        <f>B34</f>
        <v>Trolejbus</v>
      </c>
      <c r="C48" s="1660" t="str">
        <f t="shared" si="41"/>
        <v>Nehody</v>
      </c>
      <c r="D48" s="1661"/>
      <c r="E48" s="1650">
        <f t="shared" ref="E48:S48" si="44">E219*$E142*E$160</f>
        <v>0</v>
      </c>
      <c r="F48" s="1650">
        <f t="shared" si="44"/>
        <v>0</v>
      </c>
      <c r="G48" s="1650">
        <f t="shared" si="44"/>
        <v>0</v>
      </c>
      <c r="H48" s="1650">
        <f t="shared" si="44"/>
        <v>0</v>
      </c>
      <c r="I48" s="1650">
        <f t="shared" si="44"/>
        <v>0</v>
      </c>
      <c r="J48" s="1650">
        <f t="shared" si="44"/>
        <v>0</v>
      </c>
      <c r="K48" s="1650">
        <f t="shared" si="44"/>
        <v>0</v>
      </c>
      <c r="L48" s="1650">
        <f t="shared" si="44"/>
        <v>0</v>
      </c>
      <c r="M48" s="1650">
        <f t="shared" si="44"/>
        <v>0</v>
      </c>
      <c r="N48" s="1650">
        <f t="shared" si="44"/>
        <v>0</v>
      </c>
      <c r="O48" s="1650">
        <f t="shared" si="44"/>
        <v>0</v>
      </c>
      <c r="P48" s="1650">
        <f t="shared" si="44"/>
        <v>0</v>
      </c>
      <c r="Q48" s="1650">
        <f t="shared" si="44"/>
        <v>0</v>
      </c>
      <c r="R48" s="1650">
        <f t="shared" si="44"/>
        <v>0</v>
      </c>
      <c r="S48" s="1651">
        <f t="shared" si="44"/>
        <v>0</v>
      </c>
      <c r="T48" s="479"/>
      <c r="U48" s="288"/>
      <c r="V48" s="288"/>
      <c r="W48" s="288"/>
      <c r="X48" s="288"/>
      <c r="Y48" s="288"/>
      <c r="Z48" s="288"/>
      <c r="AA48" s="288"/>
      <c r="AB48" s="288"/>
      <c r="AC48" s="288"/>
    </row>
    <row r="49" spans="1:29" s="289" customFormat="1" ht="12.75" customHeight="1" x14ac:dyDescent="0.3">
      <c r="A49" s="287"/>
      <c r="B49" s="2062"/>
      <c r="C49" s="1662" t="str">
        <f t="shared" si="41"/>
        <v>Hluk</v>
      </c>
      <c r="D49" s="1663"/>
      <c r="E49" s="1654">
        <f t="shared" ref="E49:S49" si="45">E220*$E143*E$160</f>
        <v>0</v>
      </c>
      <c r="F49" s="1654">
        <f t="shared" si="45"/>
        <v>0</v>
      </c>
      <c r="G49" s="1654">
        <f t="shared" si="45"/>
        <v>0</v>
      </c>
      <c r="H49" s="1654">
        <f t="shared" si="45"/>
        <v>0</v>
      </c>
      <c r="I49" s="1654">
        <f t="shared" si="45"/>
        <v>0</v>
      </c>
      <c r="J49" s="1654">
        <f t="shared" si="45"/>
        <v>0</v>
      </c>
      <c r="K49" s="1654">
        <f t="shared" si="45"/>
        <v>0</v>
      </c>
      <c r="L49" s="1654">
        <f t="shared" si="45"/>
        <v>0</v>
      </c>
      <c r="M49" s="1654">
        <f t="shared" si="45"/>
        <v>0</v>
      </c>
      <c r="N49" s="1654">
        <f t="shared" si="45"/>
        <v>0</v>
      </c>
      <c r="O49" s="1654">
        <f t="shared" si="45"/>
        <v>0</v>
      </c>
      <c r="P49" s="1654">
        <f t="shared" si="45"/>
        <v>0</v>
      </c>
      <c r="Q49" s="1654">
        <f t="shared" si="45"/>
        <v>0</v>
      </c>
      <c r="R49" s="1654">
        <f t="shared" si="45"/>
        <v>0</v>
      </c>
      <c r="S49" s="1655">
        <f t="shared" si="45"/>
        <v>0</v>
      </c>
      <c r="T49" s="479"/>
      <c r="U49" s="288"/>
      <c r="V49" s="288"/>
      <c r="W49" s="288"/>
      <c r="X49" s="288"/>
      <c r="Y49" s="288"/>
      <c r="Z49" s="288"/>
      <c r="AA49" s="288"/>
      <c r="AB49" s="288"/>
      <c r="AC49" s="288"/>
    </row>
    <row r="50" spans="1:29" ht="12.75" customHeight="1" x14ac:dyDescent="0.3">
      <c r="A50" s="245"/>
      <c r="B50" s="2061" t="str">
        <f>B36</f>
        <v>Tramvaj</v>
      </c>
      <c r="C50" s="1647" t="str">
        <f t="shared" si="41"/>
        <v>Nehody</v>
      </c>
      <c r="D50" s="1659"/>
      <c r="E50" s="1347">
        <f t="shared" ref="E50:S50" si="46">E221*$E144*E$160</f>
        <v>0</v>
      </c>
      <c r="F50" s="1347">
        <f t="shared" si="46"/>
        <v>0</v>
      </c>
      <c r="G50" s="1347">
        <f t="shared" si="46"/>
        <v>0</v>
      </c>
      <c r="H50" s="1347">
        <f t="shared" si="46"/>
        <v>0</v>
      </c>
      <c r="I50" s="1347">
        <f t="shared" si="46"/>
        <v>0</v>
      </c>
      <c r="J50" s="1347">
        <f t="shared" si="46"/>
        <v>0</v>
      </c>
      <c r="K50" s="1347">
        <f t="shared" si="46"/>
        <v>0</v>
      </c>
      <c r="L50" s="1347">
        <f t="shared" si="46"/>
        <v>0</v>
      </c>
      <c r="M50" s="1347">
        <f t="shared" si="46"/>
        <v>0</v>
      </c>
      <c r="N50" s="1347">
        <f t="shared" si="46"/>
        <v>0</v>
      </c>
      <c r="O50" s="1347">
        <f t="shared" si="46"/>
        <v>0</v>
      </c>
      <c r="P50" s="1347">
        <f t="shared" si="46"/>
        <v>0</v>
      </c>
      <c r="Q50" s="1347">
        <f t="shared" si="46"/>
        <v>0</v>
      </c>
      <c r="R50" s="1347">
        <f t="shared" si="46"/>
        <v>0</v>
      </c>
      <c r="S50" s="1348">
        <f t="shared" si="46"/>
        <v>0</v>
      </c>
      <c r="T50" s="477"/>
      <c r="U50" s="236"/>
      <c r="V50" s="236"/>
      <c r="W50" s="236"/>
      <c r="X50" s="236"/>
      <c r="Y50" s="236"/>
      <c r="Z50" s="236"/>
      <c r="AA50" s="236"/>
      <c r="AB50" s="236"/>
      <c r="AC50" s="236"/>
    </row>
    <row r="51" spans="1:29" ht="12.75" customHeight="1" x14ac:dyDescent="0.3">
      <c r="A51" s="245"/>
      <c r="B51" s="2062"/>
      <c r="C51" s="1647" t="str">
        <f t="shared" si="41"/>
        <v>Hluk</v>
      </c>
      <c r="D51" s="1659"/>
      <c r="E51" s="1347">
        <f t="shared" ref="E51:S51" si="47">E222*$E145*E$160</f>
        <v>0</v>
      </c>
      <c r="F51" s="1347">
        <f t="shared" si="47"/>
        <v>0</v>
      </c>
      <c r="G51" s="1347">
        <f t="shared" si="47"/>
        <v>0</v>
      </c>
      <c r="H51" s="1347">
        <f t="shared" si="47"/>
        <v>0</v>
      </c>
      <c r="I51" s="1347">
        <f t="shared" si="47"/>
        <v>0</v>
      </c>
      <c r="J51" s="1347">
        <f t="shared" si="47"/>
        <v>0</v>
      </c>
      <c r="K51" s="1347">
        <f t="shared" si="47"/>
        <v>0</v>
      </c>
      <c r="L51" s="1347">
        <f t="shared" si="47"/>
        <v>0</v>
      </c>
      <c r="M51" s="1347">
        <f t="shared" si="47"/>
        <v>0</v>
      </c>
      <c r="N51" s="1347">
        <f t="shared" si="47"/>
        <v>0</v>
      </c>
      <c r="O51" s="1347">
        <f t="shared" si="47"/>
        <v>0</v>
      </c>
      <c r="P51" s="1347">
        <f t="shared" si="47"/>
        <v>0</v>
      </c>
      <c r="Q51" s="1347">
        <f t="shared" si="47"/>
        <v>0</v>
      </c>
      <c r="R51" s="1347">
        <f t="shared" si="47"/>
        <v>0</v>
      </c>
      <c r="S51" s="1348">
        <f t="shared" si="47"/>
        <v>0</v>
      </c>
      <c r="T51" s="477"/>
      <c r="U51" s="236"/>
      <c r="V51" s="236"/>
      <c r="W51" s="236"/>
      <c r="X51" s="236"/>
      <c r="Y51" s="236"/>
      <c r="Z51" s="236"/>
      <c r="AA51" s="236"/>
      <c r="AB51" s="236"/>
      <c r="AC51" s="236"/>
    </row>
    <row r="52" spans="1:29" s="289" customFormat="1" ht="12.75" customHeight="1" x14ac:dyDescent="0.3">
      <c r="A52" s="287"/>
      <c r="B52" s="2063" t="str">
        <f>B38</f>
        <v>Metro</v>
      </c>
      <c r="C52" s="1660" t="str">
        <f t="shared" si="41"/>
        <v>Nehody</v>
      </c>
      <c r="D52" s="1661"/>
      <c r="E52" s="1650">
        <f t="shared" ref="E52:S52" si="48">E223*$E146*E$160</f>
        <v>0</v>
      </c>
      <c r="F52" s="1650">
        <f t="shared" si="48"/>
        <v>0</v>
      </c>
      <c r="G52" s="1650">
        <f t="shared" si="48"/>
        <v>0</v>
      </c>
      <c r="H52" s="1650">
        <f t="shared" si="48"/>
        <v>0</v>
      </c>
      <c r="I52" s="1650">
        <f t="shared" si="48"/>
        <v>0</v>
      </c>
      <c r="J52" s="1650">
        <f t="shared" si="48"/>
        <v>0</v>
      </c>
      <c r="K52" s="1650">
        <f t="shared" si="48"/>
        <v>0</v>
      </c>
      <c r="L52" s="1650">
        <f t="shared" si="48"/>
        <v>0</v>
      </c>
      <c r="M52" s="1650">
        <f t="shared" si="48"/>
        <v>0</v>
      </c>
      <c r="N52" s="1650">
        <f t="shared" si="48"/>
        <v>0</v>
      </c>
      <c r="O52" s="1650">
        <f t="shared" si="48"/>
        <v>0</v>
      </c>
      <c r="P52" s="1650">
        <f t="shared" si="48"/>
        <v>0</v>
      </c>
      <c r="Q52" s="1650">
        <f t="shared" si="48"/>
        <v>0</v>
      </c>
      <c r="R52" s="1650">
        <f t="shared" si="48"/>
        <v>0</v>
      </c>
      <c r="S52" s="1651">
        <f t="shared" si="48"/>
        <v>0</v>
      </c>
      <c r="T52" s="479"/>
      <c r="U52" s="288"/>
      <c r="V52" s="288"/>
      <c r="W52" s="288"/>
      <c r="X52" s="288"/>
      <c r="Y52" s="288"/>
      <c r="Z52" s="288"/>
      <c r="AA52" s="288"/>
      <c r="AB52" s="288"/>
      <c r="AC52" s="288"/>
    </row>
    <row r="53" spans="1:29" s="289" customFormat="1" ht="12.75" customHeight="1" x14ac:dyDescent="0.3">
      <c r="A53" s="287"/>
      <c r="B53" s="2062"/>
      <c r="C53" s="1662" t="str">
        <f t="shared" si="41"/>
        <v>Hluk</v>
      </c>
      <c r="D53" s="1663"/>
      <c r="E53" s="1654">
        <f t="shared" ref="E53:S53" si="49">E224*$E147*E$160</f>
        <v>0</v>
      </c>
      <c r="F53" s="1654">
        <f t="shared" si="49"/>
        <v>0</v>
      </c>
      <c r="G53" s="1654">
        <f t="shared" si="49"/>
        <v>0</v>
      </c>
      <c r="H53" s="1654">
        <f t="shared" si="49"/>
        <v>0</v>
      </c>
      <c r="I53" s="1654">
        <f t="shared" si="49"/>
        <v>0</v>
      </c>
      <c r="J53" s="1654">
        <f t="shared" si="49"/>
        <v>0</v>
      </c>
      <c r="K53" s="1654">
        <f t="shared" si="49"/>
        <v>0</v>
      </c>
      <c r="L53" s="1654">
        <f t="shared" si="49"/>
        <v>0</v>
      </c>
      <c r="M53" s="1654">
        <f t="shared" si="49"/>
        <v>0</v>
      </c>
      <c r="N53" s="1654">
        <f t="shared" si="49"/>
        <v>0</v>
      </c>
      <c r="O53" s="1654">
        <f t="shared" si="49"/>
        <v>0</v>
      </c>
      <c r="P53" s="1654">
        <f t="shared" si="49"/>
        <v>0</v>
      </c>
      <c r="Q53" s="1654">
        <f t="shared" si="49"/>
        <v>0</v>
      </c>
      <c r="R53" s="1654">
        <f t="shared" si="49"/>
        <v>0</v>
      </c>
      <c r="S53" s="1655">
        <f t="shared" si="49"/>
        <v>0</v>
      </c>
      <c r="T53" s="479"/>
      <c r="U53" s="288"/>
      <c r="V53" s="288"/>
      <c r="W53" s="288"/>
      <c r="X53" s="288"/>
      <c r="Y53" s="288"/>
      <c r="Z53" s="288"/>
      <c r="AA53" s="288"/>
      <c r="AB53" s="288"/>
      <c r="AC53" s="288"/>
    </row>
    <row r="54" spans="1:29" s="289" customFormat="1" ht="12.75" customHeight="1" x14ac:dyDescent="0.3">
      <c r="A54" s="287"/>
      <c r="B54" s="2061" t="str">
        <f>B40</f>
        <v>IAD</v>
      </c>
      <c r="C54" s="1660" t="str">
        <f t="shared" si="41"/>
        <v>Nehody</v>
      </c>
      <c r="D54" s="1661"/>
      <c r="E54" s="1347">
        <f t="shared" ref="E54:S54" si="50">E225*$E148*E$160</f>
        <v>0</v>
      </c>
      <c r="F54" s="1347">
        <f t="shared" si="50"/>
        <v>0</v>
      </c>
      <c r="G54" s="1347">
        <f t="shared" si="50"/>
        <v>0</v>
      </c>
      <c r="H54" s="1347">
        <f t="shared" si="50"/>
        <v>0</v>
      </c>
      <c r="I54" s="1347">
        <f t="shared" si="50"/>
        <v>0</v>
      </c>
      <c r="J54" s="1347">
        <f t="shared" si="50"/>
        <v>0</v>
      </c>
      <c r="K54" s="1347">
        <f t="shared" si="50"/>
        <v>0</v>
      </c>
      <c r="L54" s="1347">
        <f t="shared" si="50"/>
        <v>0</v>
      </c>
      <c r="M54" s="1347">
        <f t="shared" si="50"/>
        <v>0</v>
      </c>
      <c r="N54" s="1347">
        <f t="shared" si="50"/>
        <v>0</v>
      </c>
      <c r="O54" s="1347">
        <f t="shared" si="50"/>
        <v>0</v>
      </c>
      <c r="P54" s="1347">
        <f t="shared" si="50"/>
        <v>0</v>
      </c>
      <c r="Q54" s="1347">
        <f t="shared" si="50"/>
        <v>0</v>
      </c>
      <c r="R54" s="1347">
        <f t="shared" si="50"/>
        <v>0</v>
      </c>
      <c r="S54" s="1348">
        <f t="shared" si="50"/>
        <v>0</v>
      </c>
      <c r="T54" s="479"/>
      <c r="U54" s="288"/>
      <c r="V54" s="288"/>
      <c r="W54" s="288"/>
      <c r="X54" s="288"/>
      <c r="Y54" s="288"/>
      <c r="Z54" s="288"/>
      <c r="AA54" s="288"/>
      <c r="AB54" s="288"/>
      <c r="AC54" s="288"/>
    </row>
    <row r="55" spans="1:29" s="289" customFormat="1" ht="12.75" customHeight="1" x14ac:dyDescent="0.3">
      <c r="A55" s="287"/>
      <c r="B55" s="2062"/>
      <c r="C55" s="1662" t="str">
        <f t="shared" si="41"/>
        <v>Hluk</v>
      </c>
      <c r="D55" s="1663"/>
      <c r="E55" s="1347">
        <f t="shared" ref="E55:S55" si="51">E226*$E149*E$160</f>
        <v>0</v>
      </c>
      <c r="F55" s="1347">
        <f t="shared" si="51"/>
        <v>0</v>
      </c>
      <c r="G55" s="1347">
        <f t="shared" si="51"/>
        <v>0</v>
      </c>
      <c r="H55" s="1347">
        <f t="shared" si="51"/>
        <v>0</v>
      </c>
      <c r="I55" s="1347">
        <f t="shared" si="51"/>
        <v>0</v>
      </c>
      <c r="J55" s="1347">
        <f t="shared" si="51"/>
        <v>0</v>
      </c>
      <c r="K55" s="1347">
        <f t="shared" si="51"/>
        <v>0</v>
      </c>
      <c r="L55" s="1347">
        <f t="shared" si="51"/>
        <v>0</v>
      </c>
      <c r="M55" s="1347">
        <f t="shared" si="51"/>
        <v>0</v>
      </c>
      <c r="N55" s="1347">
        <f t="shared" si="51"/>
        <v>0</v>
      </c>
      <c r="O55" s="1347">
        <f t="shared" si="51"/>
        <v>0</v>
      </c>
      <c r="P55" s="1347">
        <f t="shared" si="51"/>
        <v>0</v>
      </c>
      <c r="Q55" s="1347">
        <f t="shared" si="51"/>
        <v>0</v>
      </c>
      <c r="R55" s="1347">
        <f t="shared" si="51"/>
        <v>0</v>
      </c>
      <c r="S55" s="1348">
        <f t="shared" si="51"/>
        <v>0</v>
      </c>
      <c r="T55" s="479"/>
      <c r="U55" s="288"/>
      <c r="V55" s="288"/>
      <c r="W55" s="288"/>
      <c r="X55" s="288"/>
      <c r="Y55" s="288"/>
      <c r="Z55" s="288"/>
      <c r="AA55" s="288"/>
      <c r="AB55" s="288"/>
      <c r="AC55" s="288"/>
    </row>
    <row r="56" spans="1:29" ht="12.75" customHeight="1" thickBot="1" x14ac:dyDescent="0.35">
      <c r="A56" s="252"/>
      <c r="B56" s="242"/>
      <c r="C56" s="243" t="str">
        <f t="shared" si="41"/>
        <v>Celkové externí náklady</v>
      </c>
      <c r="D56" s="548"/>
      <c r="E56" s="483">
        <f t="shared" ref="E56:S56" si="52">SUM(E46:E55)</f>
        <v>0</v>
      </c>
      <c r="F56" s="484">
        <f t="shared" si="52"/>
        <v>0</v>
      </c>
      <c r="G56" s="484">
        <f t="shared" si="52"/>
        <v>0</v>
      </c>
      <c r="H56" s="484">
        <f t="shared" si="52"/>
        <v>0</v>
      </c>
      <c r="I56" s="484">
        <f t="shared" si="52"/>
        <v>0</v>
      </c>
      <c r="J56" s="484">
        <f t="shared" si="52"/>
        <v>0</v>
      </c>
      <c r="K56" s="484">
        <f t="shared" si="52"/>
        <v>0</v>
      </c>
      <c r="L56" s="484">
        <f t="shared" si="52"/>
        <v>0</v>
      </c>
      <c r="M56" s="484">
        <f t="shared" si="52"/>
        <v>0</v>
      </c>
      <c r="N56" s="484">
        <f t="shared" si="52"/>
        <v>0</v>
      </c>
      <c r="O56" s="484">
        <f t="shared" si="52"/>
        <v>0</v>
      </c>
      <c r="P56" s="484">
        <f t="shared" si="52"/>
        <v>0</v>
      </c>
      <c r="Q56" s="484">
        <f t="shared" si="52"/>
        <v>0</v>
      </c>
      <c r="R56" s="484">
        <f t="shared" si="52"/>
        <v>0</v>
      </c>
      <c r="S56" s="485">
        <f t="shared" si="52"/>
        <v>0</v>
      </c>
      <c r="T56" s="237"/>
      <c r="U56" s="237"/>
      <c r="V56" s="237"/>
      <c r="W56" s="237"/>
      <c r="X56" s="237"/>
      <c r="Y56" s="237"/>
      <c r="Z56" s="237"/>
      <c r="AA56" s="237"/>
      <c r="AB56" s="237"/>
      <c r="AC56" s="237"/>
    </row>
    <row r="57" spans="1:29" ht="12.75" customHeight="1" thickBot="1" x14ac:dyDescent="0.35">
      <c r="A57" s="252"/>
      <c r="B57" s="609"/>
      <c r="C57" s="1356"/>
      <c r="D57" s="1167"/>
      <c r="E57" s="1166"/>
      <c r="F57" s="1166"/>
      <c r="G57" s="1166"/>
      <c r="H57" s="1166"/>
      <c r="I57" s="1166"/>
      <c r="J57" s="1166"/>
      <c r="K57" s="1166"/>
      <c r="L57" s="1166"/>
      <c r="M57" s="1166"/>
      <c r="N57" s="1166"/>
      <c r="O57" s="1166"/>
      <c r="P57" s="1166"/>
      <c r="Q57" s="1166"/>
      <c r="R57" s="1166"/>
      <c r="S57" s="1166"/>
      <c r="T57" s="237"/>
      <c r="U57" s="237"/>
      <c r="V57" s="237"/>
      <c r="W57" s="237"/>
      <c r="X57" s="237"/>
      <c r="Y57" s="237"/>
      <c r="Z57" s="237"/>
      <c r="AA57" s="237"/>
      <c r="AB57" s="237"/>
      <c r="AC57" s="237"/>
    </row>
    <row r="58" spans="1:29" ht="12.75" customHeight="1" x14ac:dyDescent="0.3">
      <c r="A58" s="245"/>
      <c r="B58" s="1203" t="s">
        <v>1451</v>
      </c>
      <c r="C58" s="1204" t="str">
        <f>IF('0 Úvod'!$M$10="English",Slovnik!$D$288,Slovnik!$C$288)</f>
        <v>Celkem externí efekty - úspory (CZK)</v>
      </c>
      <c r="D58" s="1204"/>
      <c r="E58" s="2036">
        <f>E2</f>
        <v>2026</v>
      </c>
      <c r="F58" s="2016">
        <f t="shared" ref="F58:S58" si="53">E58+1</f>
        <v>2027</v>
      </c>
      <c r="G58" s="2016">
        <f t="shared" si="53"/>
        <v>2028</v>
      </c>
      <c r="H58" s="2016">
        <f t="shared" si="53"/>
        <v>2029</v>
      </c>
      <c r="I58" s="2016">
        <f t="shared" si="53"/>
        <v>2030</v>
      </c>
      <c r="J58" s="2016">
        <f t="shared" si="53"/>
        <v>2031</v>
      </c>
      <c r="K58" s="2016">
        <f t="shared" si="53"/>
        <v>2032</v>
      </c>
      <c r="L58" s="2016">
        <f t="shared" si="53"/>
        <v>2033</v>
      </c>
      <c r="M58" s="2016">
        <f t="shared" si="53"/>
        <v>2034</v>
      </c>
      <c r="N58" s="2016">
        <f t="shared" si="53"/>
        <v>2035</v>
      </c>
      <c r="O58" s="2016">
        <f t="shared" si="53"/>
        <v>2036</v>
      </c>
      <c r="P58" s="2016">
        <f t="shared" si="53"/>
        <v>2037</v>
      </c>
      <c r="Q58" s="2016">
        <f t="shared" si="53"/>
        <v>2038</v>
      </c>
      <c r="R58" s="2016">
        <f t="shared" si="53"/>
        <v>2039</v>
      </c>
      <c r="S58" s="2034">
        <f t="shared" si="53"/>
        <v>2040</v>
      </c>
      <c r="T58" s="247"/>
      <c r="U58" s="247"/>
      <c r="V58" s="247"/>
      <c r="W58" s="247"/>
      <c r="X58" s="247"/>
      <c r="Y58" s="247"/>
      <c r="Z58" s="247"/>
      <c r="AA58" s="247"/>
      <c r="AB58" s="247"/>
      <c r="AC58" s="247"/>
    </row>
    <row r="59" spans="1:29" ht="12.75" customHeight="1" thickBot="1" x14ac:dyDescent="0.35">
      <c r="A59" s="245"/>
      <c r="B59" s="1205" t="s">
        <v>4</v>
      </c>
      <c r="C59" s="1206"/>
      <c r="D59" s="1362" t="str">
        <f>D31</f>
        <v>Celkem</v>
      </c>
      <c r="E59" s="2113"/>
      <c r="F59" s="2109"/>
      <c r="G59" s="2109"/>
      <c r="H59" s="2109"/>
      <c r="I59" s="2109"/>
      <c r="J59" s="2109"/>
      <c r="K59" s="2109"/>
      <c r="L59" s="2109"/>
      <c r="M59" s="2109"/>
      <c r="N59" s="2109"/>
      <c r="O59" s="2109"/>
      <c r="P59" s="2109"/>
      <c r="Q59" s="2109"/>
      <c r="R59" s="2109"/>
      <c r="S59" s="2110"/>
      <c r="T59" s="247"/>
      <c r="U59" s="247"/>
      <c r="V59" s="247"/>
      <c r="W59" s="247"/>
      <c r="X59" s="247"/>
      <c r="Y59" s="247"/>
      <c r="Z59" s="247"/>
      <c r="AA59" s="247"/>
      <c r="AB59" s="247"/>
      <c r="AC59" s="247"/>
    </row>
    <row r="60" spans="1:29" ht="12.75" customHeight="1" x14ac:dyDescent="0.3">
      <c r="A60" s="254"/>
      <c r="B60" s="2111" t="str">
        <f>IF('0 Úvod'!$M$10="English",Slovnik!$D$285,Slovnik!$C$285)</f>
        <v>Osobní</v>
      </c>
      <c r="C60" s="1186" t="str">
        <f>C4</f>
        <v>Nehody</v>
      </c>
      <c r="D60" s="1364">
        <f>SUM(E60:S60,E66:S66)</f>
        <v>0</v>
      </c>
      <c r="E60" s="1211">
        <f>E32+E34+E36+E38+E40-E4-E6-E8-E10-E12</f>
        <v>0</v>
      </c>
      <c r="F60" s="1187">
        <f t="shared" ref="F60:S60" si="54">F32+F34+F36+F38+F40-F4-F6-F8-F10-F12</f>
        <v>0</v>
      </c>
      <c r="G60" s="1187">
        <f t="shared" si="54"/>
        <v>0</v>
      </c>
      <c r="H60" s="1187">
        <f t="shared" si="54"/>
        <v>0</v>
      </c>
      <c r="I60" s="1187">
        <f t="shared" si="54"/>
        <v>0</v>
      </c>
      <c r="J60" s="1187">
        <f t="shared" si="54"/>
        <v>0</v>
      </c>
      <c r="K60" s="1187">
        <f t="shared" si="54"/>
        <v>0</v>
      </c>
      <c r="L60" s="1187">
        <f t="shared" si="54"/>
        <v>0</v>
      </c>
      <c r="M60" s="1187">
        <f t="shared" si="54"/>
        <v>0</v>
      </c>
      <c r="N60" s="1187">
        <f t="shared" si="54"/>
        <v>0</v>
      </c>
      <c r="O60" s="1187">
        <f t="shared" si="54"/>
        <v>0</v>
      </c>
      <c r="P60" s="1187">
        <f t="shared" si="54"/>
        <v>0</v>
      </c>
      <c r="Q60" s="1187">
        <f t="shared" si="54"/>
        <v>0</v>
      </c>
      <c r="R60" s="1187">
        <f t="shared" si="54"/>
        <v>0</v>
      </c>
      <c r="S60" s="1215">
        <f t="shared" si="54"/>
        <v>0</v>
      </c>
      <c r="T60" s="236"/>
      <c r="U60" s="236"/>
      <c r="V60" s="236"/>
      <c r="W60" s="236"/>
      <c r="X60" s="236"/>
      <c r="Y60" s="236"/>
      <c r="Z60" s="236"/>
      <c r="AA60" s="236"/>
      <c r="AB60" s="236"/>
      <c r="AC60" s="236"/>
    </row>
    <row r="61" spans="1:29" ht="12.75" customHeight="1" x14ac:dyDescent="0.3">
      <c r="A61" s="254"/>
      <c r="B61" s="2112"/>
      <c r="C61" s="1170" t="str">
        <f>C5</f>
        <v>Hluk</v>
      </c>
      <c r="D61" s="1210">
        <f>SUM(E61:S61,E67:S67)</f>
        <v>0</v>
      </c>
      <c r="E61" s="1211">
        <f>E33+E35+E37+E39+E41-E5-E7-E9-E11-E13</f>
        <v>0</v>
      </c>
      <c r="F61" s="1187">
        <f t="shared" ref="F61:S61" si="55">F33+F35+F37+F39+F41-F5-F7-F9-F11-F13</f>
        <v>0</v>
      </c>
      <c r="G61" s="1187">
        <f t="shared" si="55"/>
        <v>0</v>
      </c>
      <c r="H61" s="1187">
        <f t="shared" si="55"/>
        <v>0</v>
      </c>
      <c r="I61" s="1187">
        <f t="shared" si="55"/>
        <v>0</v>
      </c>
      <c r="J61" s="1187">
        <f t="shared" si="55"/>
        <v>0</v>
      </c>
      <c r="K61" s="1187">
        <f t="shared" si="55"/>
        <v>0</v>
      </c>
      <c r="L61" s="1187">
        <f t="shared" si="55"/>
        <v>0</v>
      </c>
      <c r="M61" s="1187">
        <f t="shared" si="55"/>
        <v>0</v>
      </c>
      <c r="N61" s="1187">
        <f t="shared" si="55"/>
        <v>0</v>
      </c>
      <c r="O61" s="1187">
        <f t="shared" si="55"/>
        <v>0</v>
      </c>
      <c r="P61" s="1187">
        <f t="shared" si="55"/>
        <v>0</v>
      </c>
      <c r="Q61" s="1187">
        <f t="shared" si="55"/>
        <v>0</v>
      </c>
      <c r="R61" s="1187">
        <f t="shared" si="55"/>
        <v>0</v>
      </c>
      <c r="S61" s="1215">
        <f t="shared" si="55"/>
        <v>0</v>
      </c>
      <c r="T61" s="236"/>
      <c r="U61" s="236"/>
      <c r="V61" s="236"/>
      <c r="W61" s="236"/>
      <c r="X61" s="236"/>
      <c r="Y61" s="236"/>
      <c r="Z61" s="236"/>
      <c r="AA61" s="236"/>
      <c r="AB61" s="236"/>
      <c r="AC61" s="236"/>
    </row>
    <row r="62" spans="1:29" ht="12.75" customHeight="1" thickBot="1" x14ac:dyDescent="0.35">
      <c r="A62" s="245"/>
      <c r="B62" s="1365"/>
      <c r="C62" s="1366" t="str">
        <f>IF('0 Úvod'!$M$10="English",Slovnik!$D$287,Slovnik!$C$287)</f>
        <v>Celkem externí efekty - úspory</v>
      </c>
      <c r="D62" s="1367">
        <f>SUM(E62:S62,E68:S68)</f>
        <v>0</v>
      </c>
      <c r="E62" s="1368">
        <f t="shared" ref="E62:S62" si="56">SUM(E60:E61)</f>
        <v>0</v>
      </c>
      <c r="F62" s="1369">
        <f t="shared" si="56"/>
        <v>0</v>
      </c>
      <c r="G62" s="1369">
        <f t="shared" si="56"/>
        <v>0</v>
      </c>
      <c r="H62" s="1369">
        <f t="shared" si="56"/>
        <v>0</v>
      </c>
      <c r="I62" s="1369">
        <f t="shared" si="56"/>
        <v>0</v>
      </c>
      <c r="J62" s="1369">
        <f t="shared" si="56"/>
        <v>0</v>
      </c>
      <c r="K62" s="1369">
        <f t="shared" si="56"/>
        <v>0</v>
      </c>
      <c r="L62" s="1369">
        <f t="shared" si="56"/>
        <v>0</v>
      </c>
      <c r="M62" s="1369">
        <f t="shared" si="56"/>
        <v>0</v>
      </c>
      <c r="N62" s="1369">
        <f t="shared" si="56"/>
        <v>0</v>
      </c>
      <c r="O62" s="1369">
        <f t="shared" si="56"/>
        <v>0</v>
      </c>
      <c r="P62" s="1369">
        <f t="shared" si="56"/>
        <v>0</v>
      </c>
      <c r="Q62" s="1369">
        <f t="shared" si="56"/>
        <v>0</v>
      </c>
      <c r="R62" s="1369">
        <f t="shared" si="56"/>
        <v>0</v>
      </c>
      <c r="S62" s="1370">
        <f t="shared" si="56"/>
        <v>0</v>
      </c>
      <c r="T62" s="237"/>
      <c r="U62" s="237"/>
      <c r="V62" s="237"/>
      <c r="W62" s="237"/>
      <c r="X62" s="237"/>
      <c r="Y62" s="237"/>
      <c r="Z62" s="237"/>
      <c r="AA62" s="237"/>
      <c r="AB62" s="237"/>
      <c r="AC62" s="237"/>
    </row>
    <row r="63" spans="1:29" ht="12.75" customHeight="1" thickBot="1" x14ac:dyDescent="0.35">
      <c r="A63" s="245"/>
      <c r="B63" s="1349"/>
      <c r="C63" s="1165"/>
      <c r="D63" s="1167"/>
      <c r="E63" s="1167"/>
      <c r="F63" s="1167"/>
      <c r="G63" s="1167"/>
      <c r="H63" s="1167"/>
      <c r="I63" s="1167"/>
      <c r="J63" s="1167"/>
      <c r="K63" s="1167"/>
      <c r="L63" s="1167"/>
      <c r="M63" s="1167"/>
      <c r="N63" s="1167"/>
      <c r="O63" s="1167"/>
      <c r="P63" s="1167"/>
      <c r="Q63" s="1167"/>
      <c r="R63" s="1167"/>
      <c r="S63" s="1167"/>
      <c r="T63" s="236"/>
      <c r="U63" s="236"/>
      <c r="V63" s="236"/>
      <c r="W63" s="236"/>
      <c r="X63" s="236"/>
      <c r="Y63" s="236"/>
      <c r="Z63" s="236"/>
      <c r="AA63" s="236"/>
      <c r="AB63" s="236"/>
      <c r="AC63" s="236"/>
    </row>
    <row r="64" spans="1:29" ht="12.75" customHeight="1" x14ac:dyDescent="0.3">
      <c r="A64" s="245"/>
      <c r="B64" s="1203" t="str">
        <f>B58</f>
        <v>9.3.</v>
      </c>
      <c r="C64" s="1204" t="str">
        <f>C58</f>
        <v>Celkem externí efekty - úspory (CZK)</v>
      </c>
      <c r="D64" s="1204"/>
      <c r="E64" s="2036">
        <f>S58+1</f>
        <v>2041</v>
      </c>
      <c r="F64" s="2016">
        <f t="shared" ref="F64:S64" si="57">E64+1</f>
        <v>2042</v>
      </c>
      <c r="G64" s="2016">
        <f t="shared" si="57"/>
        <v>2043</v>
      </c>
      <c r="H64" s="2016">
        <f t="shared" si="57"/>
        <v>2044</v>
      </c>
      <c r="I64" s="2016">
        <f t="shared" si="57"/>
        <v>2045</v>
      </c>
      <c r="J64" s="2016">
        <f t="shared" si="57"/>
        <v>2046</v>
      </c>
      <c r="K64" s="2016">
        <f t="shared" si="57"/>
        <v>2047</v>
      </c>
      <c r="L64" s="2016">
        <f t="shared" si="57"/>
        <v>2048</v>
      </c>
      <c r="M64" s="2016">
        <f t="shared" si="57"/>
        <v>2049</v>
      </c>
      <c r="N64" s="2016">
        <f t="shared" si="57"/>
        <v>2050</v>
      </c>
      <c r="O64" s="2016">
        <f t="shared" si="57"/>
        <v>2051</v>
      </c>
      <c r="P64" s="2016">
        <f t="shared" si="57"/>
        <v>2052</v>
      </c>
      <c r="Q64" s="2016">
        <f t="shared" si="57"/>
        <v>2053</v>
      </c>
      <c r="R64" s="2016">
        <f t="shared" si="57"/>
        <v>2054</v>
      </c>
      <c r="S64" s="2034">
        <f t="shared" si="57"/>
        <v>2055</v>
      </c>
      <c r="T64" s="247"/>
      <c r="U64" s="247"/>
      <c r="V64" s="247"/>
      <c r="W64" s="247"/>
      <c r="X64" s="247"/>
      <c r="Y64" s="247"/>
      <c r="Z64" s="247"/>
      <c r="AA64" s="247"/>
      <c r="AB64" s="247"/>
      <c r="AC64" s="247"/>
    </row>
    <row r="65" spans="1:29" ht="12.75" customHeight="1" thickBot="1" x14ac:dyDescent="0.35">
      <c r="A65" s="245"/>
      <c r="B65" s="1205" t="s">
        <v>5</v>
      </c>
      <c r="C65" s="1206"/>
      <c r="D65" s="1362"/>
      <c r="E65" s="2113">
        <f>S59+1</f>
        <v>1</v>
      </c>
      <c r="F65" s="2109"/>
      <c r="G65" s="2109"/>
      <c r="H65" s="2109"/>
      <c r="I65" s="2109"/>
      <c r="J65" s="2109"/>
      <c r="K65" s="2109"/>
      <c r="L65" s="2109"/>
      <c r="M65" s="2109"/>
      <c r="N65" s="2109"/>
      <c r="O65" s="2109"/>
      <c r="P65" s="2109"/>
      <c r="Q65" s="2109"/>
      <c r="R65" s="2109"/>
      <c r="S65" s="2110"/>
      <c r="T65" s="247"/>
      <c r="U65" s="247"/>
      <c r="V65" s="247"/>
      <c r="W65" s="247"/>
      <c r="X65" s="247"/>
      <c r="Y65" s="247"/>
      <c r="Z65" s="247"/>
      <c r="AA65" s="247"/>
      <c r="AB65" s="247"/>
      <c r="AC65" s="247"/>
    </row>
    <row r="66" spans="1:29" ht="12.75" customHeight="1" x14ac:dyDescent="0.3">
      <c r="A66" s="254"/>
      <c r="B66" s="2111" t="str">
        <f>B60</f>
        <v>Osobní</v>
      </c>
      <c r="C66" s="1186" t="str">
        <f>C60</f>
        <v>Nehody</v>
      </c>
      <c r="D66" s="1364"/>
      <c r="E66" s="1211">
        <f>E46+E48+E50+E52+E54-E18-E20-E22-E24-E26</f>
        <v>0</v>
      </c>
      <c r="F66" s="1187">
        <f t="shared" ref="F66:S66" si="58">F46+F48+F50+F52+F54-F18-F20-F22-F24-F26</f>
        <v>0</v>
      </c>
      <c r="G66" s="1187">
        <f t="shared" si="58"/>
        <v>0</v>
      </c>
      <c r="H66" s="1187">
        <f t="shared" si="58"/>
        <v>0</v>
      </c>
      <c r="I66" s="1187">
        <f t="shared" si="58"/>
        <v>0</v>
      </c>
      <c r="J66" s="1187">
        <f t="shared" si="58"/>
        <v>0</v>
      </c>
      <c r="K66" s="1187">
        <f t="shared" si="58"/>
        <v>0</v>
      </c>
      <c r="L66" s="1187">
        <f t="shared" si="58"/>
        <v>0</v>
      </c>
      <c r="M66" s="1187">
        <f t="shared" si="58"/>
        <v>0</v>
      </c>
      <c r="N66" s="1187">
        <f t="shared" si="58"/>
        <v>0</v>
      </c>
      <c r="O66" s="1187">
        <f t="shared" si="58"/>
        <v>0</v>
      </c>
      <c r="P66" s="1187">
        <f t="shared" si="58"/>
        <v>0</v>
      </c>
      <c r="Q66" s="1187">
        <f t="shared" si="58"/>
        <v>0</v>
      </c>
      <c r="R66" s="1187">
        <f t="shared" si="58"/>
        <v>0</v>
      </c>
      <c r="S66" s="1215">
        <f t="shared" si="58"/>
        <v>0</v>
      </c>
      <c r="T66" s="236"/>
      <c r="U66" s="236"/>
      <c r="V66" s="236"/>
      <c r="W66" s="236"/>
      <c r="X66" s="236"/>
      <c r="Y66" s="236"/>
      <c r="Z66" s="236"/>
      <c r="AA66" s="236"/>
      <c r="AB66" s="236"/>
      <c r="AC66" s="236"/>
    </row>
    <row r="67" spans="1:29" ht="12.75" customHeight="1" x14ac:dyDescent="0.3">
      <c r="A67" s="254"/>
      <c r="B67" s="2112"/>
      <c r="C67" s="1170" t="str">
        <f>C61</f>
        <v>Hluk</v>
      </c>
      <c r="D67" s="1210"/>
      <c r="E67" s="1211">
        <f>E47+E49+E51+E53+E55-E19-E21-E23-E25-E27</f>
        <v>0</v>
      </c>
      <c r="F67" s="1187">
        <f t="shared" ref="F67:S67" si="59">F47+F49+F51+F53+F55-F19-F21-F23-F25-F27</f>
        <v>0</v>
      </c>
      <c r="G67" s="1187">
        <f t="shared" si="59"/>
        <v>0</v>
      </c>
      <c r="H67" s="1187">
        <f t="shared" si="59"/>
        <v>0</v>
      </c>
      <c r="I67" s="1187">
        <f t="shared" si="59"/>
        <v>0</v>
      </c>
      <c r="J67" s="1187">
        <f t="shared" si="59"/>
        <v>0</v>
      </c>
      <c r="K67" s="1187">
        <f t="shared" si="59"/>
        <v>0</v>
      </c>
      <c r="L67" s="1187">
        <f t="shared" si="59"/>
        <v>0</v>
      </c>
      <c r="M67" s="1187">
        <f t="shared" si="59"/>
        <v>0</v>
      </c>
      <c r="N67" s="1187">
        <f t="shared" si="59"/>
        <v>0</v>
      </c>
      <c r="O67" s="1187">
        <f t="shared" si="59"/>
        <v>0</v>
      </c>
      <c r="P67" s="1187">
        <f t="shared" si="59"/>
        <v>0</v>
      </c>
      <c r="Q67" s="1187">
        <f t="shared" si="59"/>
        <v>0</v>
      </c>
      <c r="R67" s="1187">
        <f t="shared" si="59"/>
        <v>0</v>
      </c>
      <c r="S67" s="1215">
        <f t="shared" si="59"/>
        <v>0</v>
      </c>
      <c r="T67" s="236"/>
      <c r="U67" s="236"/>
      <c r="V67" s="236"/>
      <c r="W67" s="236"/>
      <c r="X67" s="236"/>
      <c r="Y67" s="236"/>
      <c r="Z67" s="236"/>
      <c r="AA67" s="236"/>
      <c r="AB67" s="236"/>
      <c r="AC67" s="236"/>
    </row>
    <row r="68" spans="1:29" ht="12.75" customHeight="1" thickBot="1" x14ac:dyDescent="0.35">
      <c r="A68" s="245"/>
      <c r="B68" s="1365"/>
      <c r="C68" s="1366" t="str">
        <f>C62</f>
        <v>Celkem externí efekty - úspory</v>
      </c>
      <c r="D68" s="1367"/>
      <c r="E68" s="1368">
        <f t="shared" ref="E68:S68" si="60">SUM(E66:E67)</f>
        <v>0</v>
      </c>
      <c r="F68" s="1369">
        <f t="shared" si="60"/>
        <v>0</v>
      </c>
      <c r="G68" s="1369">
        <f t="shared" si="60"/>
        <v>0</v>
      </c>
      <c r="H68" s="1369">
        <f t="shared" si="60"/>
        <v>0</v>
      </c>
      <c r="I68" s="1369">
        <f t="shared" si="60"/>
        <v>0</v>
      </c>
      <c r="J68" s="1369">
        <f t="shared" si="60"/>
        <v>0</v>
      </c>
      <c r="K68" s="1369">
        <f t="shared" si="60"/>
        <v>0</v>
      </c>
      <c r="L68" s="1369">
        <f t="shared" si="60"/>
        <v>0</v>
      </c>
      <c r="M68" s="1369">
        <f t="shared" si="60"/>
        <v>0</v>
      </c>
      <c r="N68" s="1369">
        <f t="shared" si="60"/>
        <v>0</v>
      </c>
      <c r="O68" s="1369">
        <f t="shared" si="60"/>
        <v>0</v>
      </c>
      <c r="P68" s="1369">
        <f t="shared" si="60"/>
        <v>0</v>
      </c>
      <c r="Q68" s="1369">
        <f t="shared" si="60"/>
        <v>0</v>
      </c>
      <c r="R68" s="1369">
        <f t="shared" si="60"/>
        <v>0</v>
      </c>
      <c r="S68" s="1370">
        <f t="shared" si="60"/>
        <v>0</v>
      </c>
      <c r="T68" s="237"/>
      <c r="U68" s="237"/>
      <c r="V68" s="237"/>
      <c r="W68" s="237"/>
      <c r="X68" s="237"/>
      <c r="Y68" s="237"/>
      <c r="Z68" s="237"/>
      <c r="AA68" s="237"/>
      <c r="AB68" s="237"/>
      <c r="AC68" s="237"/>
    </row>
    <row r="69" spans="1:29" ht="12.75" customHeight="1" x14ac:dyDescent="0.3">
      <c r="B69" s="585"/>
      <c r="C69" s="585"/>
      <c r="D69" s="585"/>
      <c r="E69" s="585"/>
      <c r="F69" s="585"/>
      <c r="G69" s="585"/>
      <c r="H69" s="585"/>
      <c r="I69" s="585"/>
      <c r="J69" s="585"/>
      <c r="K69" s="585"/>
      <c r="L69" s="585"/>
      <c r="M69" s="585"/>
      <c r="N69" s="585"/>
      <c r="O69" s="585"/>
      <c r="P69" s="585"/>
      <c r="Q69" s="585"/>
      <c r="R69" s="585"/>
      <c r="S69" s="585"/>
    </row>
    <row r="70" spans="1:29" ht="14.25" thickBot="1" x14ac:dyDescent="0.35">
      <c r="B70" s="585"/>
      <c r="C70" s="585"/>
      <c r="D70" s="585"/>
      <c r="E70" s="585"/>
      <c r="F70" s="585"/>
      <c r="G70" s="585"/>
      <c r="H70" s="585"/>
      <c r="I70" s="585"/>
      <c r="J70" s="585"/>
      <c r="K70" s="585"/>
      <c r="L70" s="585"/>
      <c r="M70" s="585"/>
      <c r="N70" s="585"/>
      <c r="O70" s="585"/>
      <c r="P70" s="585"/>
      <c r="Q70" s="585"/>
      <c r="R70" s="585"/>
      <c r="S70" s="585"/>
    </row>
    <row r="71" spans="1:29" s="277" customFormat="1" x14ac:dyDescent="0.25">
      <c r="B71" s="1371"/>
      <c r="C71" s="1372" t="s">
        <v>1459</v>
      </c>
      <c r="D71" s="1373">
        <f>D14</f>
        <v>0</v>
      </c>
      <c r="E71" s="1374"/>
      <c r="F71" s="1132"/>
      <c r="G71" s="1132"/>
      <c r="H71" s="1132"/>
      <c r="I71" s="1132"/>
      <c r="J71" s="1132"/>
      <c r="K71" s="1132"/>
      <c r="L71" s="1132"/>
      <c r="M71" s="1132"/>
      <c r="N71" s="1132"/>
      <c r="O71" s="1132"/>
      <c r="P71" s="1132"/>
      <c r="Q71" s="1134"/>
      <c r="R71" s="1134"/>
      <c r="S71" s="1135"/>
    </row>
    <row r="72" spans="1:29" s="277" customFormat="1" x14ac:dyDescent="0.25">
      <c r="B72" s="1375"/>
      <c r="C72" s="1376" t="s">
        <v>1460</v>
      </c>
      <c r="D72" s="1377">
        <f>D42</f>
        <v>0</v>
      </c>
      <c r="E72" s="1378"/>
      <c r="F72" s="1137"/>
      <c r="G72" s="1132"/>
      <c r="H72" s="1137"/>
      <c r="I72" s="1137"/>
      <c r="J72" s="1137"/>
      <c r="K72" s="1137"/>
      <c r="L72" s="1137"/>
      <c r="M72" s="1137"/>
      <c r="N72" s="1137"/>
      <c r="O72" s="1137"/>
      <c r="P72" s="1137"/>
      <c r="Q72" s="1379"/>
      <c r="R72" s="1379"/>
      <c r="S72" s="1135"/>
    </row>
    <row r="73" spans="1:29" ht="15" thickBot="1" x14ac:dyDescent="0.35">
      <c r="B73" s="1380"/>
      <c r="C73" s="1381" t="s">
        <v>1461</v>
      </c>
      <c r="D73" s="1382">
        <f>D62</f>
        <v>0</v>
      </c>
      <c r="E73" s="1378"/>
      <c r="F73" s="585"/>
      <c r="G73" s="585"/>
      <c r="H73" s="585"/>
      <c r="I73" s="585"/>
      <c r="J73" s="1138"/>
      <c r="K73" s="585"/>
      <c r="L73" s="585"/>
      <c r="M73" s="585"/>
      <c r="N73" s="585"/>
      <c r="O73" s="585"/>
      <c r="P73" s="585"/>
      <c r="Q73" s="585"/>
      <c r="R73" s="585"/>
      <c r="S73" s="585"/>
    </row>
    <row r="74" spans="1:29" ht="14.25" thickBot="1" x14ac:dyDescent="0.35">
      <c r="B74" s="585"/>
      <c r="C74" s="585"/>
      <c r="D74" s="1383"/>
      <c r="E74" s="585"/>
      <c r="F74" s="585"/>
      <c r="G74" s="585"/>
      <c r="H74" s="585"/>
      <c r="I74" s="585"/>
      <c r="J74" s="585"/>
      <c r="K74" s="585"/>
      <c r="L74" s="585"/>
      <c r="M74" s="585"/>
      <c r="N74" s="585"/>
      <c r="O74" s="585"/>
      <c r="P74" s="585"/>
      <c r="Q74" s="585"/>
      <c r="R74" s="585"/>
      <c r="S74" s="585"/>
    </row>
    <row r="75" spans="1:29" hidden="1" x14ac:dyDescent="0.3">
      <c r="B75" s="585" t="s">
        <v>1446</v>
      </c>
      <c r="C75" s="585"/>
      <c r="D75" s="1383"/>
      <c r="E75" s="585">
        <f>IFERROR(HLOOKUP(E79,'0 Úvod'!D90:M97,7,FALSE),1)</f>
        <v>1.610545985331985</v>
      </c>
      <c r="F75" s="585"/>
      <c r="G75" s="585"/>
      <c r="H75" s="585"/>
      <c r="I75" s="585"/>
      <c r="J75" s="585"/>
      <c r="K75" s="585"/>
      <c r="L75" s="585"/>
      <c r="M75" s="585"/>
      <c r="N75" s="585"/>
      <c r="O75" s="585"/>
      <c r="P75" s="585"/>
      <c r="Q75" s="585"/>
      <c r="R75" s="585"/>
      <c r="S75" s="585"/>
    </row>
    <row r="76" spans="1:29" ht="15" hidden="1" thickBot="1" x14ac:dyDescent="0.35">
      <c r="B76" s="1664"/>
      <c r="C76" s="1385"/>
      <c r="D76" s="1385"/>
      <c r="E76" s="1385"/>
      <c r="F76" s="1385"/>
      <c r="G76" s="1385"/>
      <c r="H76" s="1386"/>
      <c r="I76" s="585"/>
      <c r="J76" s="585"/>
      <c r="K76" s="585"/>
      <c r="L76" s="585"/>
      <c r="M76" s="585"/>
      <c r="N76" s="585"/>
      <c r="O76" s="585"/>
      <c r="P76" s="585"/>
      <c r="Q76" s="585"/>
      <c r="R76" s="585"/>
      <c r="S76" s="585"/>
    </row>
    <row r="77" spans="1:29" ht="15" thickBot="1" x14ac:dyDescent="0.35">
      <c r="B77" s="2090" t="s">
        <v>1452</v>
      </c>
      <c r="C77" s="2095" t="str">
        <f>IF('0 Úvod'!$M$10="English",Slovnik!$D$292,Slovnik!$C$292)</f>
        <v>Společenské náklady NEHODOVOSTI</v>
      </c>
      <c r="D77" s="2096"/>
      <c r="E77" s="2096"/>
      <c r="F77" s="2097"/>
      <c r="G77" s="1385"/>
      <c r="H77" s="1386"/>
      <c r="I77" s="585"/>
      <c r="J77" s="585"/>
      <c r="K77" s="585"/>
      <c r="L77" s="585"/>
      <c r="M77" s="585"/>
      <c r="N77" s="585"/>
      <c r="O77" s="585"/>
      <c r="P77" s="585"/>
      <c r="Q77" s="585"/>
      <c r="R77" s="585"/>
      <c r="S77" s="585"/>
    </row>
    <row r="78" spans="1:29" ht="14.25" customHeight="1" x14ac:dyDescent="0.3">
      <c r="B78" s="2093"/>
      <c r="C78" s="1665" t="str">
        <f>IF('0 Úvod'!$M$10="English",Slovnik!D293,Slovnik!C293)</f>
        <v>nehoda</v>
      </c>
      <c r="D78" s="2084" t="str">
        <f>IF('0 Úvod'!$M$10="English",Slovnik!$D$299,Slovnik!$C$299)</f>
        <v>měrná hodnota</v>
      </c>
      <c r="E78" s="2085"/>
      <c r="F78" s="2082" t="str">
        <f>IF('0 Úvod'!$M$10="English",Slovnik!$D$300,Slovnik!$C$300)</f>
        <v>jednotka</v>
      </c>
      <c r="G78" s="585"/>
      <c r="H78" s="585"/>
      <c r="I78" s="585"/>
      <c r="J78" s="585"/>
      <c r="K78" s="585"/>
      <c r="L78" s="585"/>
      <c r="M78" s="585"/>
      <c r="N78" s="585"/>
      <c r="O78" s="585"/>
      <c r="P78" s="585"/>
      <c r="Q78" s="585"/>
      <c r="R78" s="585"/>
      <c r="S78" s="585"/>
    </row>
    <row r="79" spans="1:29" ht="14.25" thickBot="1" x14ac:dyDescent="0.35">
      <c r="B79" s="2093"/>
      <c r="C79" s="1666" t="str">
        <f>IF('0 Úvod'!$M$10="English",Slovnik!D294,Slovnik!C294)</f>
        <v>CÚ</v>
      </c>
      <c r="D79" s="1392">
        <v>2017</v>
      </c>
      <c r="E79" s="1667">
        <f>'0 Úvod'!D18</f>
        <v>2025</v>
      </c>
      <c r="F79" s="2088"/>
      <c r="G79" s="585"/>
      <c r="H79" s="585"/>
      <c r="I79" s="585"/>
      <c r="J79" s="585"/>
      <c r="K79" s="585"/>
      <c r="L79" s="585"/>
      <c r="M79" s="585"/>
      <c r="N79" s="585"/>
      <c r="O79" s="585"/>
      <c r="P79" s="585"/>
      <c r="Q79" s="585"/>
      <c r="R79" s="585"/>
      <c r="S79" s="585"/>
    </row>
    <row r="80" spans="1:29" ht="13.15" customHeight="1" x14ac:dyDescent="0.3">
      <c r="B80" s="2093"/>
      <c r="C80" s="1403" t="str">
        <f>IF('0 Úvod'!$M$10="English",Slovnik!D295,Slovnik!C295)</f>
        <v>s úmrtím</v>
      </c>
      <c r="D80" s="1668">
        <v>20790000</v>
      </c>
      <c r="E80" s="1668">
        <f>D80*$E$75</f>
        <v>33483251.035051968</v>
      </c>
      <c r="F80" s="2098" t="str">
        <f>IF('0 Úvod'!$M$10="English",Slovnik!$D$301,Slovnik!$C$301)</f>
        <v>CZK/osoba</v>
      </c>
      <c r="G80" s="585"/>
      <c r="H80" s="585"/>
      <c r="I80" s="585"/>
      <c r="J80" s="585"/>
      <c r="K80" s="585"/>
      <c r="L80" s="585"/>
      <c r="M80" s="585"/>
      <c r="N80" s="585"/>
      <c r="O80" s="585"/>
      <c r="P80" s="585"/>
      <c r="Q80" s="585"/>
      <c r="R80" s="585"/>
      <c r="S80" s="585"/>
    </row>
    <row r="81" spans="2:19" ht="13.9" customHeight="1" x14ac:dyDescent="0.3">
      <c r="B81" s="2093"/>
      <c r="C81" s="1395" t="str">
        <f>IF('0 Úvod'!$M$10="English",Slovnik!D296,Slovnik!C296)</f>
        <v>s těžkým zraněním</v>
      </c>
      <c r="D81" s="1669">
        <v>5033600</v>
      </c>
      <c r="E81" s="1669">
        <f t="shared" ref="E81:E83" si="61">D81*$E$75</f>
        <v>8106844.2717670798</v>
      </c>
      <c r="F81" s="2057"/>
      <c r="G81" s="585"/>
      <c r="H81" s="585"/>
      <c r="I81" s="585"/>
      <c r="J81" s="585"/>
      <c r="K81" s="585"/>
      <c r="L81" s="585"/>
      <c r="M81" s="585"/>
      <c r="N81" s="585"/>
      <c r="O81" s="585"/>
      <c r="P81" s="585"/>
      <c r="Q81" s="585"/>
      <c r="R81" s="585"/>
      <c r="S81" s="585"/>
    </row>
    <row r="82" spans="2:19" ht="13.9" customHeight="1" x14ac:dyDescent="0.3">
      <c r="B82" s="2093"/>
      <c r="C82" s="1395" t="str">
        <f>IF('0 Úvod'!$M$10="English",Slovnik!D297,Slovnik!C297)</f>
        <v>s lehkým zraněním</v>
      </c>
      <c r="D82" s="1669">
        <v>649800</v>
      </c>
      <c r="E82" s="1669">
        <f t="shared" si="61"/>
        <v>1046532.7812687239</v>
      </c>
      <c r="F82" s="2099"/>
      <c r="G82" s="585"/>
      <c r="H82" s="585"/>
      <c r="I82" s="585"/>
      <c r="J82" s="585"/>
      <c r="K82" s="585"/>
      <c r="L82" s="585"/>
      <c r="M82" s="585"/>
      <c r="N82" s="585"/>
      <c r="O82" s="585"/>
      <c r="P82" s="585"/>
      <c r="Q82" s="585"/>
      <c r="R82" s="585"/>
      <c r="S82" s="585"/>
    </row>
    <row r="83" spans="2:19" ht="15" thickBot="1" x14ac:dyDescent="0.35">
      <c r="B83" s="2094"/>
      <c r="C83" s="1400" t="str">
        <f>IF('0 Úvod'!$M$10="English",Slovnik!D298,Slovnik!C298)</f>
        <v>s hmotnou škodou</v>
      </c>
      <c r="D83" s="1670">
        <v>344900</v>
      </c>
      <c r="E83" s="1670">
        <f t="shared" si="61"/>
        <v>555477.3103410016</v>
      </c>
      <c r="F83" s="1671" t="str">
        <f>IF('0 Úvod'!$M$10="English",Slovnik!$D$302,Slovnik!$C$302)</f>
        <v>CZK/nehoda</v>
      </c>
      <c r="G83" s="1386"/>
      <c r="H83" s="1386"/>
      <c r="I83" s="585"/>
      <c r="J83" s="585"/>
      <c r="K83" s="585"/>
      <c r="L83" s="585"/>
      <c r="M83" s="585"/>
      <c r="N83" s="585"/>
      <c r="O83" s="585"/>
      <c r="P83" s="585"/>
      <c r="Q83" s="585"/>
      <c r="R83" s="585"/>
      <c r="S83" s="585"/>
    </row>
    <row r="84" spans="2:19" ht="13.15" customHeight="1" x14ac:dyDescent="0.3">
      <c r="B84" s="1387"/>
      <c r="C84" s="1405" t="str">
        <f>IF('0 Úvod'!$M$10="English",Slovnik!$D$303,Slovnik!$C$303)</f>
        <v>Zdroj: Centrum dopravního výzkumu v.v.i.</v>
      </c>
      <c r="D84" s="1240"/>
      <c r="E84" s="1672"/>
      <c r="F84" s="1240"/>
      <c r="G84" s="1240"/>
      <c r="H84" s="1386"/>
      <c r="I84" s="1386"/>
      <c r="J84" s="1386"/>
      <c r="K84" s="585"/>
      <c r="L84" s="585"/>
      <c r="M84" s="585"/>
      <c r="N84" s="585"/>
      <c r="O84" s="585"/>
      <c r="P84" s="585"/>
      <c r="Q84" s="585"/>
      <c r="R84" s="585"/>
      <c r="S84" s="585"/>
    </row>
    <row r="85" spans="2:19" ht="13.15" customHeight="1" thickBot="1" x14ac:dyDescent="0.35">
      <c r="B85" s="1387"/>
      <c r="C85" s="1240"/>
      <c r="D85" s="1240"/>
      <c r="E85" s="1240"/>
      <c r="F85" s="1240"/>
      <c r="G85" s="1240"/>
      <c r="H85" s="1386"/>
      <c r="I85" s="1386"/>
      <c r="J85" s="1386" t="s">
        <v>2</v>
      </c>
      <c r="K85" s="585"/>
      <c r="L85" s="585"/>
      <c r="M85" s="585"/>
      <c r="N85" s="585"/>
      <c r="O85" s="585"/>
      <c r="P85" s="585"/>
      <c r="Q85" s="585"/>
      <c r="R85" s="585"/>
      <c r="S85" s="585"/>
    </row>
    <row r="86" spans="2:19" ht="15" customHeight="1" thickBot="1" x14ac:dyDescent="0.35">
      <c r="B86" s="2090" t="s">
        <v>1555</v>
      </c>
      <c r="C86" s="2095" t="str">
        <f>IF('0 Úvod'!$M$10="English",Slovnik!$D$304,Slovnik!$C$304)</f>
        <v>Zjednodušené externí NÁKLADY NEHOD</v>
      </c>
      <c r="D86" s="2096"/>
      <c r="E86" s="2096"/>
      <c r="F86" s="2097"/>
      <c r="G86" s="1240"/>
      <c r="H86" s="2095" t="s">
        <v>1553</v>
      </c>
      <c r="I86" s="2114"/>
      <c r="J86" s="2114"/>
      <c r="K86" s="2114"/>
      <c r="L86" s="2115"/>
      <c r="M86" s="585"/>
      <c r="N86" s="585"/>
      <c r="O86" s="585"/>
      <c r="P86" s="585"/>
      <c r="Q86" s="585"/>
      <c r="R86" s="585"/>
      <c r="S86" s="585"/>
    </row>
    <row r="87" spans="2:19" ht="13.15" customHeight="1" x14ac:dyDescent="0.3">
      <c r="B87" s="2091"/>
      <c r="C87" s="2082" t="str">
        <f>IF('0 Úvod'!$M$10="English",Slovnik!$D$305,Slovnik!$C$305)</f>
        <v>druh dopravy, jednotka</v>
      </c>
      <c r="D87" s="1665" t="str">
        <f>IF('0 Úvod'!$M$10="English",Slovnik!$D$308,Slovnik!$C$308)</f>
        <v>dopravní mód</v>
      </c>
      <c r="E87" s="2084" t="str">
        <f>IF('0 Úvod'!$M$10="English",Slovnik!$D$317,Slovnik!$C$317)</f>
        <v>měrné náklady</v>
      </c>
      <c r="F87" s="2085"/>
      <c r="G87" s="1240"/>
      <c r="H87" s="2116" t="s">
        <v>1566</v>
      </c>
      <c r="I87" s="1242" t="s">
        <v>438</v>
      </c>
      <c r="J87" s="1673">
        <v>1</v>
      </c>
      <c r="K87" s="1674"/>
      <c r="L87" s="1675"/>
      <c r="M87" s="585"/>
      <c r="N87" s="585"/>
      <c r="O87" s="585"/>
      <c r="P87" s="585"/>
      <c r="Q87" s="585"/>
      <c r="R87" s="585"/>
      <c r="S87" s="585"/>
    </row>
    <row r="88" spans="2:19" ht="14.25" x14ac:dyDescent="0.3">
      <c r="B88" s="2091"/>
      <c r="C88" s="2083"/>
      <c r="D88" s="1676" t="str">
        <f>C79</f>
        <v>CÚ</v>
      </c>
      <c r="E88" s="1677">
        <v>2017</v>
      </c>
      <c r="F88" s="1678">
        <f>'0 Úvod'!D18</f>
        <v>2025</v>
      </c>
      <c r="G88" s="1240"/>
      <c r="H88" s="2117"/>
      <c r="I88" s="1679" t="s">
        <v>1554</v>
      </c>
      <c r="J88" s="1680">
        <v>0.8</v>
      </c>
      <c r="K88" s="1681"/>
      <c r="L88" s="1682"/>
      <c r="M88" s="585"/>
      <c r="N88" s="585"/>
      <c r="O88" s="585"/>
      <c r="P88" s="585"/>
      <c r="Q88" s="585"/>
      <c r="R88" s="585"/>
      <c r="S88" s="585"/>
    </row>
    <row r="89" spans="2:19" ht="13.15" customHeight="1" x14ac:dyDescent="0.3">
      <c r="B89" s="2091"/>
      <c r="C89" s="2086" t="str">
        <f>IF('0 Úvod'!$M$10="English",Slovnik!$D$306,Slovnik!$C$306)</f>
        <v>OSOBNÍ DOPRAVA
[CZK/1000 oskm]</v>
      </c>
      <c r="D89" s="1679" t="str">
        <f>IF('0 Úvod'!$M$10="English",Slovnik!D309,Slovnik!C309)</f>
        <v>IAD</v>
      </c>
      <c r="E89" s="1683">
        <v>1039</v>
      </c>
      <c r="F89" s="1684">
        <f>E89*$E$75</f>
        <v>1673.3572787599323</v>
      </c>
      <c r="G89" s="1240"/>
      <c r="H89" s="2117"/>
      <c r="I89" s="1679" t="s">
        <v>1474</v>
      </c>
      <c r="J89" s="1680">
        <v>0.95</v>
      </c>
      <c r="K89" s="1681"/>
      <c r="L89" s="1682"/>
      <c r="M89" s="585"/>
      <c r="N89" s="585"/>
      <c r="O89" s="585"/>
      <c r="P89" s="585"/>
      <c r="Q89" s="585"/>
      <c r="R89" s="585"/>
      <c r="S89" s="585"/>
    </row>
    <row r="90" spans="2:19" ht="13.15" customHeight="1" x14ac:dyDescent="0.3">
      <c r="B90" s="2091"/>
      <c r="C90" s="2083"/>
      <c r="D90" s="1679" t="str">
        <f>IF('0 Úvod'!$M$10="English",Slovnik!D310,Slovnik!C310)</f>
        <v>BUS</v>
      </c>
      <c r="E90" s="1685">
        <v>396</v>
      </c>
      <c r="F90" s="1684">
        <f t="shared" ref="F90:F96" si="62">E90*$E$75</f>
        <v>637.77621019146602</v>
      </c>
      <c r="G90" s="1240"/>
      <c r="H90" s="2117"/>
      <c r="I90" s="1679"/>
      <c r="J90" s="1680"/>
      <c r="K90" s="1686"/>
      <c r="L90" s="1687"/>
      <c r="M90" s="585"/>
      <c r="N90" s="585"/>
      <c r="O90" s="585"/>
      <c r="P90" s="585"/>
      <c r="Q90" s="585"/>
      <c r="R90" s="585"/>
      <c r="S90" s="585"/>
    </row>
    <row r="91" spans="2:19" ht="13.15" customHeight="1" x14ac:dyDescent="0.3">
      <c r="B91" s="2091"/>
      <c r="C91" s="2083"/>
      <c r="D91" s="1679" t="str">
        <f>IF('0 Úvod'!$M$10="English",Slovnik!D311,Slovnik!C311)</f>
        <v>silniční CELKEM</v>
      </c>
      <c r="E91" s="1685">
        <v>1080</v>
      </c>
      <c r="F91" s="1684">
        <f t="shared" si="62"/>
        <v>1739.3896641585438</v>
      </c>
      <c r="G91" s="1240"/>
      <c r="H91" s="2117"/>
      <c r="I91" s="1679"/>
      <c r="J91" s="1688"/>
      <c r="K91" s="1681"/>
      <c r="L91" s="1682"/>
      <c r="M91" s="585"/>
      <c r="N91" s="585"/>
      <c r="O91" s="585"/>
      <c r="P91" s="585"/>
      <c r="Q91" s="585"/>
      <c r="R91" s="585"/>
      <c r="S91" s="585"/>
    </row>
    <row r="92" spans="2:19" ht="14.25" x14ac:dyDescent="0.3">
      <c r="B92" s="2091"/>
      <c r="C92" s="2087"/>
      <c r="D92" s="1679" t="str">
        <f>IF('0 Úvod'!$M$10="English",Slovnik!D312,Slovnik!C312)</f>
        <v>železniční</v>
      </c>
      <c r="E92" s="1685">
        <v>19</v>
      </c>
      <c r="F92" s="1684">
        <f t="shared" si="62"/>
        <v>30.600373721307715</v>
      </c>
      <c r="G92" s="1240"/>
      <c r="H92" s="2117"/>
      <c r="I92" s="1679"/>
      <c r="J92" s="1689"/>
      <c r="K92" s="1686"/>
      <c r="L92" s="1687"/>
      <c r="M92" s="1386"/>
      <c r="N92" s="585"/>
      <c r="O92" s="585"/>
      <c r="P92" s="585"/>
      <c r="Q92" s="585"/>
      <c r="R92" s="585"/>
      <c r="S92" s="585"/>
    </row>
    <row r="93" spans="2:19" ht="13.15" customHeight="1" x14ac:dyDescent="0.3">
      <c r="B93" s="2091"/>
      <c r="C93" s="2083" t="str">
        <f>IF('0 Úvod'!$M$10="English",Slovnik!$D$307,Slovnik!$C$307)</f>
        <v>NÁKLADNÍ DOPRAVA
[CZK/1000 tkm]</v>
      </c>
      <c r="D93" s="1679" t="str">
        <f>IF('0 Úvod'!$M$10="English",Slovnik!D313,Slovnik!C313)</f>
        <v>LNV</v>
      </c>
      <c r="E93" s="1685">
        <v>1808</v>
      </c>
      <c r="F93" s="1684">
        <f t="shared" si="62"/>
        <v>2911.8671414802288</v>
      </c>
      <c r="G93" s="1240"/>
      <c r="H93" s="2117"/>
      <c r="I93" s="1679"/>
      <c r="J93" s="1688"/>
      <c r="K93" s="1681"/>
      <c r="L93" s="1682"/>
      <c r="M93" s="585"/>
      <c r="N93" s="585"/>
      <c r="O93" s="585"/>
      <c r="P93" s="585"/>
      <c r="Q93" s="585"/>
      <c r="R93" s="585"/>
      <c r="S93" s="585"/>
    </row>
    <row r="94" spans="2:19" ht="13.15" customHeight="1" x14ac:dyDescent="0.3">
      <c r="B94" s="2091"/>
      <c r="C94" s="2083"/>
      <c r="D94" s="1679" t="str">
        <f>IF('0 Úvod'!$M$10="English",Slovnik!D314,Slovnik!C314)</f>
        <v>TNV</v>
      </c>
      <c r="E94" s="1685">
        <v>328</v>
      </c>
      <c r="F94" s="1684">
        <f t="shared" si="62"/>
        <v>528.25908318889105</v>
      </c>
      <c r="G94" s="1240"/>
      <c r="H94" s="2117"/>
      <c r="I94" s="1679"/>
      <c r="J94" s="1689"/>
      <c r="K94" s="1686"/>
      <c r="L94" s="1687"/>
      <c r="M94" s="585"/>
      <c r="N94" s="585"/>
      <c r="O94" s="585"/>
      <c r="P94" s="585"/>
      <c r="Q94" s="585"/>
      <c r="R94" s="585"/>
      <c r="S94" s="585"/>
    </row>
    <row r="95" spans="2:19" ht="13.15" customHeight="1" x14ac:dyDescent="0.3">
      <c r="B95" s="2091"/>
      <c r="C95" s="2083"/>
      <c r="D95" s="1679" t="str">
        <f>IF('0 Úvod'!$M$10="English",Slovnik!D315,Slovnik!C315)</f>
        <v>silniční CELKEM</v>
      </c>
      <c r="E95" s="1685">
        <v>547</v>
      </c>
      <c r="F95" s="1684">
        <f t="shared" si="62"/>
        <v>880.96865397659576</v>
      </c>
      <c r="G95" s="1240"/>
      <c r="H95" s="2117"/>
      <c r="I95" s="1679"/>
      <c r="J95" s="1688"/>
      <c r="K95" s="1681"/>
      <c r="L95" s="1682"/>
      <c r="M95" s="585"/>
      <c r="N95" s="585"/>
      <c r="O95" s="585"/>
      <c r="P95" s="585"/>
      <c r="Q95" s="585"/>
      <c r="R95" s="585"/>
      <c r="S95" s="585"/>
    </row>
    <row r="96" spans="2:19" ht="15" thickBot="1" x14ac:dyDescent="0.35">
      <c r="B96" s="2092"/>
      <c r="C96" s="2088"/>
      <c r="D96" s="1690" t="str">
        <f>IF('0 Úvod'!$M$10="English",Slovnik!D316,Slovnik!C316)</f>
        <v>železniční</v>
      </c>
      <c r="E96" s="1691">
        <v>6</v>
      </c>
      <c r="F96" s="1684">
        <f t="shared" si="62"/>
        <v>9.66327591199191</v>
      </c>
      <c r="G96" s="1240"/>
      <c r="H96" s="2118"/>
      <c r="I96" s="1690"/>
      <c r="J96" s="1692"/>
      <c r="K96" s="1693"/>
      <c r="L96" s="1694"/>
      <c r="M96" s="1386"/>
      <c r="N96" s="585"/>
      <c r="O96" s="585"/>
      <c r="P96" s="585"/>
      <c r="Q96" s="585"/>
      <c r="R96" s="585"/>
      <c r="S96" s="585"/>
    </row>
    <row r="97" spans="2:19" ht="13.15" customHeight="1" x14ac:dyDescent="0.3">
      <c r="B97" s="1387"/>
      <c r="C97" s="1405" t="str">
        <f>IF('0 Úvod'!$M$10="English",Slovnik!$D$318,Slovnik!$C$318)</f>
        <v>Zdroj: External Costs of Transport in Europe, Delft 2011</v>
      </c>
      <c r="D97" s="1240"/>
      <c r="E97" s="1240"/>
      <c r="F97" s="1672"/>
      <c r="G97" s="1240"/>
      <c r="H97" s="1405" t="s">
        <v>1556</v>
      </c>
      <c r="I97" s="1386"/>
      <c r="J97" s="1386"/>
      <c r="K97" s="1386"/>
      <c r="L97" s="1386"/>
      <c r="M97" s="1386"/>
      <c r="N97" s="585"/>
      <c r="O97" s="585"/>
      <c r="P97" s="585"/>
      <c r="Q97" s="585"/>
      <c r="R97" s="585"/>
      <c r="S97" s="585"/>
    </row>
    <row r="98" spans="2:19" ht="13.15" customHeight="1" x14ac:dyDescent="0.3">
      <c r="B98" s="1387"/>
      <c r="C98" s="1388"/>
      <c r="D98" s="1240"/>
      <c r="E98" s="1240"/>
      <c r="F98" s="1240"/>
      <c r="G98" s="1240"/>
      <c r="H98" s="1386"/>
      <c r="I98" s="1386"/>
      <c r="J98" s="1386"/>
      <c r="K98" s="1386"/>
      <c r="L98" s="1386"/>
      <c r="M98" s="1386"/>
      <c r="N98" s="585"/>
      <c r="O98" s="585"/>
      <c r="P98" s="585"/>
      <c r="Q98" s="585"/>
      <c r="R98" s="585"/>
      <c r="S98" s="585"/>
    </row>
    <row r="99" spans="2:19" ht="13.15" customHeight="1" thickBot="1" x14ac:dyDescent="0.35">
      <c r="B99" s="1387"/>
      <c r="C99" s="1388"/>
      <c r="D99" s="1240"/>
      <c r="E99" s="1240"/>
      <c r="F99" s="1240"/>
      <c r="G99" s="1240"/>
      <c r="H99" s="1386"/>
      <c r="I99" s="1386"/>
      <c r="J99" s="1386"/>
      <c r="K99" s="1386"/>
      <c r="L99" s="1386"/>
      <c r="M99" s="1386"/>
      <c r="N99" s="585"/>
      <c r="O99" s="585"/>
      <c r="P99" s="585"/>
      <c r="Q99" s="585"/>
      <c r="R99" s="585"/>
      <c r="S99" s="585"/>
    </row>
    <row r="100" spans="2:19" ht="15" customHeight="1" thickBot="1" x14ac:dyDescent="0.35">
      <c r="B100" s="2064" t="s">
        <v>1453</v>
      </c>
      <c r="C100" s="2079" t="str">
        <f>IF('0 Úvod'!$M$10="English",Slovnik!$D$319,Slovnik!$C$319)</f>
        <v>Společenské náklady HLUKU</v>
      </c>
      <c r="D100" s="2080"/>
      <c r="E100" s="2080"/>
      <c r="F100" s="2080"/>
      <c r="G100" s="2080"/>
      <c r="H100" s="2080"/>
      <c r="I100" s="2081"/>
      <c r="J100" s="585"/>
      <c r="K100" s="585"/>
      <c r="L100" s="585"/>
      <c r="M100" s="585"/>
      <c r="N100" s="585"/>
      <c r="O100" s="585"/>
      <c r="P100" s="585"/>
      <c r="Q100" s="585"/>
      <c r="R100" s="585"/>
      <c r="S100" s="585"/>
    </row>
    <row r="101" spans="2:19" ht="14.25" x14ac:dyDescent="0.3">
      <c r="B101" s="2065"/>
      <c r="C101" s="1389" t="str">
        <f>IF('0 Úvod'!$M$10="English",Slovnik!D320,Slovnik!C320)</f>
        <v>dopravní mód</v>
      </c>
      <c r="D101" s="2089" t="str">
        <f>IF('0 Úvod'!$M$10="English",Slovnik!$D$324,Slovnik!$C$324)</f>
        <v>měrné hodnoty</v>
      </c>
      <c r="E101" s="2084"/>
      <c r="F101" s="2084"/>
      <c r="G101" s="2084"/>
      <c r="H101" s="2085"/>
      <c r="I101" s="2082" t="str">
        <f>F78</f>
        <v>jednotka</v>
      </c>
      <c r="J101" s="585"/>
      <c r="K101" s="585"/>
      <c r="L101" s="585"/>
      <c r="M101" s="585"/>
      <c r="N101" s="585"/>
      <c r="O101" s="585"/>
      <c r="P101" s="585"/>
      <c r="Q101" s="585"/>
      <c r="R101" s="585"/>
      <c r="S101" s="585"/>
    </row>
    <row r="102" spans="2:19" ht="15" customHeight="1" thickBot="1" x14ac:dyDescent="0.35">
      <c r="B102" s="2065"/>
      <c r="C102" s="1390" t="str">
        <f>IF('0 Úvod'!$M$10="English",Slovnik!D321,Slovnik!C321)</f>
        <v>hladina hluku v dB(A)</v>
      </c>
      <c r="D102" s="1391" t="s">
        <v>30</v>
      </c>
      <c r="E102" s="1392" t="s">
        <v>31</v>
      </c>
      <c r="F102" s="1392" t="s">
        <v>32</v>
      </c>
      <c r="G102" s="1392" t="s">
        <v>33</v>
      </c>
      <c r="H102" s="1393" t="s">
        <v>34</v>
      </c>
      <c r="I102" s="2088"/>
      <c r="J102" s="585"/>
      <c r="K102" s="585"/>
      <c r="L102" s="585"/>
      <c r="M102" s="585"/>
      <c r="N102" s="585"/>
      <c r="O102" s="585"/>
      <c r="P102" s="585"/>
      <c r="Q102" s="585"/>
      <c r="R102" s="585"/>
      <c r="S102" s="585"/>
    </row>
    <row r="103" spans="2:19" ht="13.15" customHeight="1" x14ac:dyDescent="0.3">
      <c r="B103" s="2065"/>
      <c r="C103" s="1394" t="str">
        <f>D88</f>
        <v>CÚ</v>
      </c>
      <c r="D103" s="2100">
        <v>2017</v>
      </c>
      <c r="E103" s="2101"/>
      <c r="F103" s="2101"/>
      <c r="G103" s="2101"/>
      <c r="H103" s="2101"/>
      <c r="I103" s="2102"/>
      <c r="J103" s="585"/>
      <c r="K103" s="585"/>
      <c r="L103" s="585"/>
      <c r="M103" s="585"/>
      <c r="N103" s="585"/>
      <c r="O103" s="585"/>
      <c r="P103" s="585"/>
      <c r="Q103" s="585"/>
      <c r="R103" s="585"/>
      <c r="S103" s="585"/>
    </row>
    <row r="104" spans="2:19" ht="13.9" customHeight="1" x14ac:dyDescent="0.3">
      <c r="B104" s="2065"/>
      <c r="C104" s="1395" t="str">
        <f>IF('0 Úvod'!$M$10="English",Slovnik!D322,Slovnik!C322)</f>
        <v>silnice</v>
      </c>
      <c r="D104" s="1695">
        <v>2252</v>
      </c>
      <c r="E104" s="1696">
        <v>3828</v>
      </c>
      <c r="F104" s="1696">
        <v>5436</v>
      </c>
      <c r="G104" s="1696">
        <v>8363</v>
      </c>
      <c r="H104" s="1697">
        <v>11032</v>
      </c>
      <c r="I104" s="2056" t="str">
        <f>IF('0 Úvod'!$M$10="English",Slovnik!$D$325,Slovnik!$C$325)</f>
        <v>CZK/os/rok</v>
      </c>
      <c r="J104" s="585"/>
      <c r="K104" s="585"/>
      <c r="L104" s="585"/>
      <c r="M104" s="585"/>
      <c r="N104" s="585"/>
      <c r="O104" s="585"/>
      <c r="P104" s="585"/>
      <c r="Q104" s="585"/>
      <c r="R104" s="585"/>
      <c r="S104" s="585"/>
    </row>
    <row r="105" spans="2:19" ht="15" thickBot="1" x14ac:dyDescent="0.35">
      <c r="B105" s="2065"/>
      <c r="C105" s="1400" t="str">
        <f>IF('0 Úvod'!$M$10="English",Slovnik!D323,Slovnik!C323)</f>
        <v>železnice</v>
      </c>
      <c r="D105" s="1698">
        <v>643</v>
      </c>
      <c r="E105" s="1699">
        <v>2252</v>
      </c>
      <c r="F105" s="1699">
        <v>3828</v>
      </c>
      <c r="G105" s="1699">
        <v>6755</v>
      </c>
      <c r="H105" s="1700">
        <v>9424</v>
      </c>
      <c r="I105" s="2058"/>
      <c r="J105" s="585"/>
      <c r="K105" s="585"/>
      <c r="L105" s="585"/>
      <c r="M105" s="585"/>
      <c r="N105" s="585"/>
      <c r="O105" s="585"/>
      <c r="P105" s="585"/>
      <c r="Q105" s="585"/>
      <c r="R105" s="585"/>
      <c r="S105" s="585"/>
    </row>
    <row r="106" spans="2:19" ht="14.25" x14ac:dyDescent="0.3">
      <c r="B106" s="2065"/>
      <c r="C106" s="1403" t="str">
        <f>D88</f>
        <v>CÚ</v>
      </c>
      <c r="D106" s="2103">
        <f>'0 Úvod'!D18</f>
        <v>2025</v>
      </c>
      <c r="E106" s="2104"/>
      <c r="F106" s="2104"/>
      <c r="G106" s="2104"/>
      <c r="H106" s="2104"/>
      <c r="I106" s="2105"/>
      <c r="J106" s="585"/>
      <c r="K106" s="585"/>
      <c r="L106" s="585"/>
      <c r="M106" s="585"/>
      <c r="N106" s="585"/>
      <c r="O106" s="585"/>
      <c r="P106" s="585"/>
      <c r="Q106" s="585"/>
      <c r="R106" s="585"/>
      <c r="S106" s="585"/>
    </row>
    <row r="107" spans="2:19" ht="14.25" x14ac:dyDescent="0.3">
      <c r="B107" s="2065"/>
      <c r="C107" s="1395" t="str">
        <f>IF('0 Úvod'!$M$10="English",Slovnik!D322,Slovnik!C322)</f>
        <v>silnice</v>
      </c>
      <c r="D107" s="1685">
        <f>D104*$E$75</f>
        <v>3626.9495589676303</v>
      </c>
      <c r="E107" s="1685">
        <f t="shared" ref="E107:H107" si="63">E104*$E$75</f>
        <v>6165.1700318508383</v>
      </c>
      <c r="F107" s="1685">
        <f t="shared" si="63"/>
        <v>8754.9279762646711</v>
      </c>
      <c r="G107" s="1685">
        <f t="shared" si="63"/>
        <v>13468.99607533139</v>
      </c>
      <c r="H107" s="1685">
        <f t="shared" si="63"/>
        <v>17767.54331018246</v>
      </c>
      <c r="I107" s="2057" t="str">
        <f>IF('0 Úvod'!$M$10="English",Slovnik!$D$325,Slovnik!$C$325)</f>
        <v>CZK/os/rok</v>
      </c>
      <c r="J107" s="585"/>
      <c r="K107" s="585"/>
      <c r="L107" s="585"/>
      <c r="M107" s="585"/>
      <c r="N107" s="585"/>
      <c r="O107" s="585"/>
      <c r="P107" s="585"/>
      <c r="Q107" s="585"/>
      <c r="R107" s="585"/>
      <c r="S107" s="585"/>
    </row>
    <row r="108" spans="2:19" ht="15" thickBot="1" x14ac:dyDescent="0.35">
      <c r="B108" s="2066"/>
      <c r="C108" s="1400" t="str">
        <f>IF('0 Úvod'!$M$10="English",Slovnik!D323,Slovnik!C323)</f>
        <v>železnice</v>
      </c>
      <c r="D108" s="1685">
        <f>D105*$E$75</f>
        <v>1035.5810685684664</v>
      </c>
      <c r="E108" s="1685">
        <f t="shared" ref="E108:H108" si="64">E105*$E$75</f>
        <v>3626.9495589676303</v>
      </c>
      <c r="F108" s="1685">
        <f t="shared" si="64"/>
        <v>6165.1700318508383</v>
      </c>
      <c r="G108" s="1685">
        <f t="shared" si="64"/>
        <v>10879.238130917558</v>
      </c>
      <c r="H108" s="1685">
        <f t="shared" si="64"/>
        <v>15177.785365768626</v>
      </c>
      <c r="I108" s="2058"/>
      <c r="J108" s="585"/>
      <c r="K108" s="585"/>
      <c r="L108" s="585"/>
      <c r="M108" s="585"/>
      <c r="N108" s="585"/>
      <c r="O108" s="585"/>
      <c r="P108" s="585"/>
      <c r="Q108" s="585"/>
      <c r="R108" s="585"/>
      <c r="S108" s="585"/>
    </row>
    <row r="109" spans="2:19" ht="13.15" customHeight="1" x14ac:dyDescent="0.3">
      <c r="B109" s="1387"/>
      <c r="C109" s="1405" t="str">
        <f>C97</f>
        <v>Zdroj: External Costs of Transport in Europe, Delft 2011</v>
      </c>
      <c r="D109" s="1672"/>
      <c r="E109" s="1672"/>
      <c r="F109" s="1672"/>
      <c r="G109" s="1672"/>
      <c r="H109" s="1406"/>
      <c r="I109" s="1386"/>
      <c r="J109" s="1386"/>
      <c r="K109" s="585"/>
      <c r="L109" s="585"/>
      <c r="M109" s="585"/>
      <c r="N109" s="585"/>
      <c r="O109" s="585"/>
      <c r="P109" s="585"/>
      <c r="Q109" s="585"/>
      <c r="R109" s="585"/>
      <c r="S109" s="585"/>
    </row>
    <row r="110" spans="2:19" ht="13.15" customHeight="1" thickBot="1" x14ac:dyDescent="0.35">
      <c r="B110" s="1387"/>
      <c r="C110" s="1240"/>
      <c r="D110" s="1240"/>
      <c r="E110" s="1240"/>
      <c r="F110" s="1240"/>
      <c r="G110" s="1240"/>
      <c r="H110" s="1386"/>
      <c r="I110" s="1386"/>
      <c r="J110" s="1386" t="s">
        <v>2</v>
      </c>
      <c r="K110" s="585"/>
      <c r="L110" s="585"/>
      <c r="M110" s="585"/>
      <c r="N110" s="585"/>
      <c r="O110" s="585"/>
      <c r="P110" s="585"/>
      <c r="Q110" s="585"/>
      <c r="R110" s="585"/>
      <c r="S110" s="585"/>
    </row>
    <row r="111" spans="2:19" ht="15" customHeight="1" thickBot="1" x14ac:dyDescent="0.35">
      <c r="B111" s="2064" t="str">
        <f>B100</f>
        <v>9.5.
a</v>
      </c>
      <c r="C111" s="2079" t="str">
        <f>IF('0 Úvod'!$M$10="English",Slovnik!$D$326,Slovnik!$C$326)</f>
        <v>Zjednodušené externí NÁKLADY HLUKU</v>
      </c>
      <c r="D111" s="2080"/>
      <c r="E111" s="2080"/>
      <c r="F111" s="2081"/>
      <c r="G111" s="1240"/>
      <c r="H111" s="1386"/>
      <c r="I111" s="1386"/>
      <c r="J111" s="1386"/>
      <c r="K111" s="585"/>
      <c r="L111" s="585"/>
      <c r="M111" s="585"/>
      <c r="N111" s="585"/>
      <c r="O111" s="585"/>
      <c r="P111" s="585"/>
      <c r="Q111" s="585"/>
      <c r="R111" s="585"/>
      <c r="S111" s="585"/>
    </row>
    <row r="112" spans="2:19" ht="13.15" customHeight="1" x14ac:dyDescent="0.3">
      <c r="B112" s="2065"/>
      <c r="C112" s="2082" t="str">
        <f>IF('0 Úvod'!$M$10="English",Slovnik!$D$327,Slovnik!$C$327)</f>
        <v>druh dopravy, jednotka</v>
      </c>
      <c r="D112" s="1665" t="str">
        <f>D87</f>
        <v>dopravní mód</v>
      </c>
      <c r="E112" s="2084" t="str">
        <f>E87</f>
        <v>měrné náklady</v>
      </c>
      <c r="F112" s="2085"/>
      <c r="G112" s="1240"/>
      <c r="H112" s="585"/>
      <c r="I112" s="585"/>
      <c r="J112" s="1386"/>
      <c r="K112" s="585"/>
      <c r="L112" s="585"/>
      <c r="M112" s="585"/>
      <c r="N112" s="585"/>
      <c r="O112" s="585"/>
      <c r="P112" s="585"/>
      <c r="Q112" s="585"/>
      <c r="R112" s="585"/>
      <c r="S112" s="585"/>
    </row>
    <row r="113" spans="2:19" ht="14.25" x14ac:dyDescent="0.3">
      <c r="B113" s="2065"/>
      <c r="C113" s="2083"/>
      <c r="D113" s="1676" t="str">
        <f>D88</f>
        <v>CÚ</v>
      </c>
      <c r="E113" s="1677">
        <v>2017</v>
      </c>
      <c r="F113" s="1678">
        <f>'0 Úvod'!D18</f>
        <v>2025</v>
      </c>
      <c r="G113" s="1240"/>
      <c r="H113" s="585"/>
      <c r="I113" s="585"/>
      <c r="J113" s="1386"/>
      <c r="K113" s="585"/>
      <c r="L113" s="585"/>
      <c r="M113" s="585"/>
      <c r="N113" s="585"/>
      <c r="O113" s="585"/>
      <c r="P113" s="585"/>
      <c r="Q113" s="585"/>
      <c r="R113" s="585"/>
      <c r="S113" s="585"/>
    </row>
    <row r="114" spans="2:19" ht="13.15" customHeight="1" x14ac:dyDescent="0.3">
      <c r="B114" s="2065"/>
      <c r="C114" s="2086" t="str">
        <f>IF('0 Úvod'!$M$10="English",Slovnik!$D$328,Slovnik!$C$328)</f>
        <v>OSOBNÍ DOPRAVA
[CZK/1000 oskm]</v>
      </c>
      <c r="D114" s="1679" t="str">
        <f>D89</f>
        <v>IAD</v>
      </c>
      <c r="E114" s="1696">
        <v>55</v>
      </c>
      <c r="F114" s="1701">
        <f>E114*$E$75</f>
        <v>88.580029193259179</v>
      </c>
      <c r="G114" s="1702"/>
      <c r="H114" s="585"/>
      <c r="I114" s="585"/>
      <c r="J114" s="1386"/>
      <c r="K114" s="585"/>
      <c r="L114" s="585"/>
      <c r="M114" s="585"/>
      <c r="N114" s="585"/>
      <c r="O114" s="585"/>
      <c r="P114" s="585"/>
      <c r="Q114" s="585"/>
      <c r="R114" s="585"/>
      <c r="S114" s="585"/>
    </row>
    <row r="115" spans="2:19" ht="13.15" customHeight="1" x14ac:dyDescent="0.3">
      <c r="B115" s="2065"/>
      <c r="C115" s="2083"/>
      <c r="D115" s="1679" t="str">
        <f>D90</f>
        <v>BUS</v>
      </c>
      <c r="E115" s="1404">
        <v>51</v>
      </c>
      <c r="F115" s="1701">
        <f t="shared" ref="F115:F119" si="65">E115*$E$75</f>
        <v>82.137845251931239</v>
      </c>
      <c r="G115" s="1702"/>
      <c r="H115" s="585"/>
      <c r="I115" s="585"/>
      <c r="J115" s="1386"/>
      <c r="K115" s="585"/>
      <c r="L115" s="585"/>
      <c r="M115" s="585"/>
      <c r="N115" s="585"/>
      <c r="O115" s="585"/>
      <c r="P115" s="585"/>
      <c r="Q115" s="585"/>
      <c r="R115" s="585"/>
      <c r="S115" s="585"/>
    </row>
    <row r="116" spans="2:19" ht="14.25" x14ac:dyDescent="0.3">
      <c r="B116" s="2065"/>
      <c r="C116" s="2087"/>
      <c r="D116" s="1679" t="str">
        <f>D92</f>
        <v>železniční</v>
      </c>
      <c r="E116" s="1404">
        <v>39</v>
      </c>
      <c r="F116" s="1701">
        <f t="shared" si="65"/>
        <v>62.811293427947419</v>
      </c>
      <c r="G116" s="1702"/>
      <c r="H116" s="585"/>
      <c r="I116" s="585"/>
      <c r="J116" s="1386"/>
      <c r="K116" s="1386"/>
      <c r="L116" s="1386"/>
      <c r="M116" s="1386"/>
      <c r="N116" s="585"/>
      <c r="O116" s="585"/>
      <c r="P116" s="585"/>
      <c r="Q116" s="585"/>
      <c r="R116" s="585"/>
      <c r="S116" s="585"/>
    </row>
    <row r="117" spans="2:19" ht="13.15" customHeight="1" x14ac:dyDescent="0.3">
      <c r="B117" s="2065"/>
      <c r="C117" s="2083" t="str">
        <f>IF('0 Úvod'!$M$10="English",Slovnik!$D$329,Slovnik!$C$329)</f>
        <v>NÁKLADNÍ DOPRAVA
[CZK/1000 tkm]</v>
      </c>
      <c r="D117" s="1679" t="str">
        <f>D93</f>
        <v>LNV</v>
      </c>
      <c r="E117" s="1404">
        <v>203</v>
      </c>
      <c r="F117" s="1701">
        <f t="shared" si="65"/>
        <v>326.94083502239295</v>
      </c>
      <c r="G117" s="1702"/>
      <c r="H117" s="585"/>
      <c r="I117" s="585"/>
      <c r="J117" s="1386"/>
      <c r="K117" s="585"/>
      <c r="L117" s="585"/>
      <c r="M117" s="585"/>
      <c r="N117" s="585"/>
      <c r="O117" s="585"/>
      <c r="P117" s="585"/>
      <c r="Q117" s="585"/>
      <c r="R117" s="585"/>
      <c r="S117" s="585"/>
    </row>
    <row r="118" spans="2:19" ht="13.15" customHeight="1" x14ac:dyDescent="0.3">
      <c r="B118" s="2065"/>
      <c r="C118" s="2083"/>
      <c r="D118" s="1679" t="str">
        <f>D94</f>
        <v>TNV</v>
      </c>
      <c r="E118" s="1404">
        <v>58</v>
      </c>
      <c r="F118" s="1701">
        <f t="shared" si="65"/>
        <v>93.411667149255123</v>
      </c>
      <c r="G118" s="1702"/>
      <c r="H118" s="585"/>
      <c r="I118" s="585"/>
      <c r="J118" s="1386"/>
      <c r="K118" s="585"/>
      <c r="L118" s="585"/>
      <c r="M118" s="585"/>
      <c r="N118" s="585"/>
      <c r="O118" s="585"/>
      <c r="P118" s="585"/>
      <c r="Q118" s="585"/>
      <c r="R118" s="585"/>
      <c r="S118" s="585"/>
    </row>
    <row r="119" spans="2:19" ht="15" thickBot="1" x14ac:dyDescent="0.35">
      <c r="B119" s="2066"/>
      <c r="C119" s="2088"/>
      <c r="D119" s="1690" t="str">
        <f>D96</f>
        <v>železniční</v>
      </c>
      <c r="E119" s="1703">
        <v>32</v>
      </c>
      <c r="F119" s="1701">
        <f t="shared" si="65"/>
        <v>51.53747153062352</v>
      </c>
      <c r="G119" s="1702"/>
      <c r="H119" s="585"/>
      <c r="I119" s="585"/>
      <c r="J119" s="1386"/>
      <c r="K119" s="1386"/>
      <c r="L119" s="1386"/>
      <c r="M119" s="1386"/>
      <c r="N119" s="585"/>
      <c r="O119" s="585"/>
      <c r="P119" s="585"/>
      <c r="Q119" s="585"/>
      <c r="R119" s="585"/>
      <c r="S119" s="585"/>
    </row>
    <row r="120" spans="2:19" ht="13.15" customHeight="1" x14ac:dyDescent="0.3">
      <c r="B120" s="1387"/>
      <c r="C120" s="1405" t="str">
        <f>C109</f>
        <v>Zdroj: External Costs of Transport in Europe, Delft 2011</v>
      </c>
      <c r="D120" s="1240"/>
      <c r="E120" s="1240"/>
      <c r="F120" s="1672"/>
      <c r="G120" s="1240"/>
      <c r="H120" s="1386"/>
      <c r="I120" s="1386"/>
      <c r="J120" s="1386"/>
      <c r="K120" s="1386"/>
      <c r="L120" s="1386"/>
      <c r="M120" s="1386"/>
      <c r="N120" s="585"/>
      <c r="O120" s="585"/>
      <c r="P120" s="585"/>
      <c r="Q120" s="585"/>
      <c r="R120" s="585"/>
      <c r="S120" s="585"/>
    </row>
    <row r="121" spans="2:19" ht="13.15" hidden="1" customHeight="1" x14ac:dyDescent="0.3">
      <c r="B121" s="1387"/>
      <c r="C121" s="1388"/>
      <c r="D121" s="1240"/>
      <c r="E121" s="1240"/>
      <c r="F121" s="1240"/>
      <c r="G121" s="1240"/>
      <c r="H121" s="1386"/>
      <c r="I121" s="1386"/>
      <c r="J121" s="1386"/>
      <c r="K121" s="1386"/>
      <c r="L121" s="1386"/>
      <c r="M121" s="1386"/>
      <c r="N121" s="585"/>
      <c r="O121" s="585"/>
      <c r="P121" s="585"/>
      <c r="Q121" s="585"/>
      <c r="R121" s="585"/>
      <c r="S121" s="585"/>
    </row>
    <row r="122" spans="2:19" ht="13.15" hidden="1" customHeight="1" thickBot="1" x14ac:dyDescent="0.35">
      <c r="B122" s="1387"/>
      <c r="C122" s="1388"/>
      <c r="D122" s="1240"/>
      <c r="E122" s="1240"/>
      <c r="F122" s="1240"/>
      <c r="G122" s="1240"/>
      <c r="H122" s="1386"/>
      <c r="I122" s="1386"/>
      <c r="J122" s="1386"/>
      <c r="K122" s="1386"/>
      <c r="L122" s="1386"/>
      <c r="M122" s="1386"/>
      <c r="N122" s="585"/>
      <c r="O122" s="585"/>
      <c r="P122" s="585"/>
      <c r="Q122" s="585"/>
      <c r="R122" s="585"/>
      <c r="S122" s="585"/>
    </row>
    <row r="123" spans="2:19" ht="15" hidden="1" customHeight="1" thickBot="1" x14ac:dyDescent="0.35">
      <c r="B123" s="2067" t="s">
        <v>1454</v>
      </c>
      <c r="C123" s="2106" t="str">
        <f>IF('0 Úvod'!$M$10="English",Slovnik!$D$330,Slovnik!$C$330)</f>
        <v>Společenské náklady ZNEČIŠTĚNÍ ŽIVOTNÍHO PROSTŘEDÍ a emisí SKLENÍKOVÝCH PLYNŮ</v>
      </c>
      <c r="D123" s="2107"/>
      <c r="E123" s="2107"/>
      <c r="F123" s="2107"/>
      <c r="G123" s="2107"/>
      <c r="H123" s="2107"/>
      <c r="I123" s="2107"/>
      <c r="J123" s="2108"/>
      <c r="K123" s="585"/>
      <c r="L123" s="585"/>
      <c r="M123" s="585"/>
      <c r="N123" s="585"/>
      <c r="O123" s="585"/>
      <c r="P123" s="585"/>
      <c r="Q123" s="585"/>
      <c r="R123" s="585"/>
      <c r="S123" s="585"/>
    </row>
    <row r="124" spans="2:19" ht="14.25" hidden="1" x14ac:dyDescent="0.3">
      <c r="B124" s="2068"/>
      <c r="C124" s="1389" t="str">
        <f>IF('0 Úvod'!$M$10="English",Slovnik!D331,Slovnik!C331)</f>
        <v>charakter zástavby</v>
      </c>
      <c r="D124" s="2070" t="str">
        <f>D101</f>
        <v>měrné hodnoty</v>
      </c>
      <c r="E124" s="2071"/>
      <c r="F124" s="2071"/>
      <c r="G124" s="2071"/>
      <c r="H124" s="2071"/>
      <c r="I124" s="2072"/>
      <c r="J124" s="2082" t="str">
        <f>I101</f>
        <v>jednotka</v>
      </c>
      <c r="K124" s="585"/>
      <c r="L124" s="585"/>
      <c r="M124" s="585"/>
      <c r="N124" s="585"/>
      <c r="O124" s="585"/>
      <c r="P124" s="585"/>
      <c r="Q124" s="585"/>
      <c r="R124" s="585"/>
      <c r="S124" s="585"/>
    </row>
    <row r="125" spans="2:19" ht="15" hidden="1" customHeight="1" thickBot="1" x14ac:dyDescent="0.35">
      <c r="B125" s="2068"/>
      <c r="C125" s="1390" t="str">
        <f>IF('0 Úvod'!$M$10="English",Slovnik!D332,Slovnik!C332)</f>
        <v>plutant</v>
      </c>
      <c r="D125" s="1391" t="s">
        <v>35</v>
      </c>
      <c r="E125" s="1392" t="s">
        <v>36</v>
      </c>
      <c r="F125" s="1392" t="s">
        <v>37</v>
      </c>
      <c r="G125" s="1392" t="s">
        <v>38</v>
      </c>
      <c r="H125" s="1392" t="s">
        <v>39</v>
      </c>
      <c r="I125" s="1393" t="s">
        <v>40</v>
      </c>
      <c r="J125" s="2088"/>
      <c r="K125" s="585"/>
      <c r="L125" s="585"/>
      <c r="M125" s="585"/>
      <c r="N125" s="585"/>
      <c r="O125" s="585"/>
      <c r="P125" s="585"/>
      <c r="Q125" s="585"/>
      <c r="R125" s="585"/>
      <c r="S125" s="585"/>
    </row>
    <row r="126" spans="2:19" ht="14.25" hidden="1" x14ac:dyDescent="0.3">
      <c r="B126" s="2068"/>
      <c r="C126" s="1394" t="str">
        <f>C103</f>
        <v>CÚ</v>
      </c>
      <c r="D126" s="2100">
        <v>2017</v>
      </c>
      <c r="E126" s="2101"/>
      <c r="F126" s="2101"/>
      <c r="G126" s="2101"/>
      <c r="H126" s="2101"/>
      <c r="I126" s="2101"/>
      <c r="J126" s="2102"/>
      <c r="K126" s="585"/>
      <c r="L126" s="585"/>
      <c r="M126" s="585"/>
      <c r="N126" s="585"/>
      <c r="O126" s="585"/>
      <c r="P126" s="585"/>
      <c r="Q126" s="585"/>
      <c r="R126" s="585"/>
      <c r="S126" s="585"/>
    </row>
    <row r="127" spans="2:19" ht="13.9" hidden="1" customHeight="1" x14ac:dyDescent="0.3">
      <c r="B127" s="2068"/>
      <c r="C127" s="1395" t="str">
        <f>IF('0 Úvod'!$M$10="English",Slovnik!D334,Slovnik!C333)</f>
        <v>mimo město</v>
      </c>
      <c r="D127" s="2073">
        <v>2877</v>
      </c>
      <c r="E127" s="2075">
        <v>504724</v>
      </c>
      <c r="F127" s="2075">
        <v>451145</v>
      </c>
      <c r="G127" s="2075">
        <v>52685</v>
      </c>
      <c r="H127" s="1396">
        <v>1375556</v>
      </c>
      <c r="I127" s="1397">
        <v>551095</v>
      </c>
      <c r="J127" s="2056" t="s">
        <v>41</v>
      </c>
      <c r="K127" s="585"/>
      <c r="L127" s="585"/>
      <c r="M127" s="585"/>
      <c r="N127" s="585"/>
      <c r="O127" s="585"/>
      <c r="P127" s="585"/>
      <c r="Q127" s="585"/>
      <c r="R127" s="585"/>
      <c r="S127" s="585"/>
    </row>
    <row r="128" spans="2:19" ht="13.9" hidden="1" customHeight="1" x14ac:dyDescent="0.3">
      <c r="B128" s="2068"/>
      <c r="C128" s="1395" t="str">
        <f>IF('0 Úvod'!$M$10="English",Slovnik!D335,Slovnik!C334)</f>
        <v>předměstí</v>
      </c>
      <c r="D128" s="2073"/>
      <c r="E128" s="2075"/>
      <c r="F128" s="2075"/>
      <c r="G128" s="2075"/>
      <c r="H128" s="1398">
        <v>2187533</v>
      </c>
      <c r="I128" s="1399">
        <v>875725</v>
      </c>
      <c r="J128" s="2057"/>
      <c r="K128" s="585"/>
      <c r="L128" s="585"/>
      <c r="M128" s="585"/>
      <c r="N128" s="585"/>
      <c r="O128" s="585"/>
      <c r="P128" s="585"/>
      <c r="Q128" s="585"/>
      <c r="R128" s="585"/>
      <c r="S128" s="585"/>
    </row>
    <row r="129" spans="2:19" ht="15" hidden="1" thickBot="1" x14ac:dyDescent="0.35">
      <c r="B129" s="2068"/>
      <c r="C129" s="1400" t="str">
        <f>IF('0 Úvod'!$M$10="English",Slovnik!D336,Slovnik!C335)</f>
        <v>město</v>
      </c>
      <c r="D129" s="2074"/>
      <c r="E129" s="2076"/>
      <c r="F129" s="2076"/>
      <c r="G129" s="2076"/>
      <c r="H129" s="1401">
        <v>6894628</v>
      </c>
      <c r="I129" s="1402">
        <v>2760095</v>
      </c>
      <c r="J129" s="2058"/>
      <c r="K129" s="585"/>
      <c r="L129" s="585"/>
      <c r="M129" s="585"/>
      <c r="N129" s="585"/>
      <c r="O129" s="585"/>
      <c r="P129" s="585"/>
      <c r="Q129" s="585"/>
      <c r="R129" s="585"/>
      <c r="S129" s="585"/>
    </row>
    <row r="130" spans="2:19" ht="14.25" hidden="1" x14ac:dyDescent="0.3">
      <c r="B130" s="2068"/>
      <c r="C130" s="1403" t="str">
        <f>D113</f>
        <v>CÚ</v>
      </c>
      <c r="D130" s="2103">
        <f>'0 Úvod'!D18</f>
        <v>2025</v>
      </c>
      <c r="E130" s="2104"/>
      <c r="F130" s="2104"/>
      <c r="G130" s="2104"/>
      <c r="H130" s="2104"/>
      <c r="I130" s="2104"/>
      <c r="J130" s="2105"/>
      <c r="K130" s="585"/>
      <c r="L130" s="585"/>
      <c r="M130" s="585"/>
      <c r="N130" s="585"/>
      <c r="O130" s="585"/>
      <c r="P130" s="585"/>
      <c r="Q130" s="585"/>
      <c r="R130" s="585"/>
      <c r="S130" s="585"/>
    </row>
    <row r="131" spans="2:19" ht="14.25" hidden="1" x14ac:dyDescent="0.3">
      <c r="B131" s="2068"/>
      <c r="C131" s="1395" t="str">
        <f>IF('0 Úvod'!$M$10="English",Slovnik!D334,Slovnik!C333)</f>
        <v>mimo město</v>
      </c>
      <c r="D131" s="2077">
        <f>D127*$E$75</f>
        <v>4633.540799800121</v>
      </c>
      <c r="E131" s="2077">
        <f t="shared" ref="E131:G131" si="66">E127*$E$75</f>
        <v>812881.21190070082</v>
      </c>
      <c r="F131" s="2077">
        <f t="shared" si="66"/>
        <v>726589.76855259843</v>
      </c>
      <c r="G131" s="2077">
        <f t="shared" si="66"/>
        <v>84851.615237215636</v>
      </c>
      <c r="H131" s="1404">
        <f>H127*$E$75</f>
        <v>2215396.1933993241</v>
      </c>
      <c r="I131" s="1404">
        <f>I127*$E$75</f>
        <v>887563.83978653024</v>
      </c>
      <c r="J131" s="2056" t="s">
        <v>41</v>
      </c>
      <c r="K131" s="585"/>
      <c r="L131" s="585"/>
      <c r="M131" s="585"/>
      <c r="N131" s="585"/>
      <c r="O131" s="585"/>
      <c r="P131" s="585"/>
      <c r="Q131" s="585"/>
      <c r="R131" s="585"/>
      <c r="S131" s="585"/>
    </row>
    <row r="132" spans="2:19" ht="14.25" hidden="1" x14ac:dyDescent="0.3">
      <c r="B132" s="2068"/>
      <c r="C132" s="1395" t="str">
        <f>IF('0 Úvod'!$M$10="English",Slovnik!D335,Slovnik!C334)</f>
        <v>předměstí</v>
      </c>
      <c r="D132" s="2077"/>
      <c r="E132" s="2077"/>
      <c r="F132" s="2077"/>
      <c r="G132" s="2077"/>
      <c r="H132" s="1404">
        <f t="shared" ref="H132:I133" si="67">H128*$E$75</f>
        <v>3523122.4909312334</v>
      </c>
      <c r="I132" s="1404">
        <f t="shared" si="67"/>
        <v>1410395.3830048526</v>
      </c>
      <c r="J132" s="2057"/>
      <c r="K132" s="585"/>
      <c r="L132" s="585"/>
      <c r="M132" s="585"/>
      <c r="N132" s="585"/>
      <c r="O132" s="585"/>
      <c r="P132" s="585"/>
      <c r="Q132" s="585"/>
      <c r="R132" s="585"/>
      <c r="S132" s="585"/>
    </row>
    <row r="133" spans="2:19" ht="15" hidden="1" thickBot="1" x14ac:dyDescent="0.35">
      <c r="B133" s="2069"/>
      <c r="C133" s="1400" t="str">
        <f>IF('0 Úvod'!$M$10="English",Slovnik!D336,Slovnik!C335)</f>
        <v>město</v>
      </c>
      <c r="D133" s="2078"/>
      <c r="E133" s="2078"/>
      <c r="F133" s="2078"/>
      <c r="G133" s="2078"/>
      <c r="H133" s="1404">
        <f t="shared" si="67"/>
        <v>11104115.445757493</v>
      </c>
      <c r="I133" s="1404">
        <f t="shared" si="67"/>
        <v>4445259.921384885</v>
      </c>
      <c r="J133" s="2058"/>
      <c r="K133" s="585"/>
      <c r="L133" s="585"/>
      <c r="M133" s="585"/>
      <c r="N133" s="585"/>
      <c r="O133" s="585"/>
      <c r="P133" s="585"/>
      <c r="Q133" s="585"/>
      <c r="R133" s="585"/>
      <c r="S133" s="585"/>
    </row>
    <row r="134" spans="2:19" ht="13.15" hidden="1" customHeight="1" x14ac:dyDescent="0.3">
      <c r="B134" s="1387"/>
      <c r="C134" s="1405" t="str">
        <f>IF('0 Úvod'!$M$10="English",Slovnik!$E$342,Slovnik!$E$341)</f>
        <v>Zdroj: Aktualizovaná příručka o externích nákladech dopravy, RICARDO-AEA, zpráva pro EK, GŘ pro dopravu a mobilitu, vyd. 01/2014</v>
      </c>
      <c r="D134" s="1240"/>
      <c r="E134" s="1240"/>
      <c r="F134" s="1240"/>
      <c r="G134" s="1240"/>
      <c r="H134" s="1406"/>
      <c r="I134" s="1406"/>
      <c r="J134" s="1386"/>
      <c r="K134" s="585"/>
      <c r="L134" s="585"/>
      <c r="M134" s="585"/>
      <c r="N134" s="585"/>
      <c r="O134" s="585"/>
      <c r="P134" s="585"/>
      <c r="Q134" s="585"/>
      <c r="R134" s="585"/>
      <c r="S134" s="585"/>
    </row>
    <row r="135" spans="2:19" ht="13.15" hidden="1" customHeight="1" x14ac:dyDescent="0.3">
      <c r="B135" s="1387"/>
      <c r="C135" s="1407" t="str">
        <f>IF('0 Úvod'!$M$10="English",Slovnik!$E$345,Slovnik!$E$344)</f>
        <v>Pozn: město - nad 1500 obyvatel/km2; předměstí - 300 obyvatel/km2; mimo město - méně než 150 obyvatel/km2; *hodnoty CO2 platné pouze do roku 2021!</v>
      </c>
      <c r="D135" s="1240"/>
      <c r="E135" s="1240"/>
      <c r="F135" s="1240"/>
      <c r="G135" s="1240"/>
      <c r="H135" s="1386"/>
      <c r="I135" s="1386"/>
      <c r="J135" s="1386"/>
      <c r="K135" s="585"/>
      <c r="L135" s="585"/>
      <c r="M135" s="585"/>
      <c r="N135" s="585"/>
      <c r="O135" s="585"/>
      <c r="P135" s="585"/>
      <c r="Q135" s="585"/>
      <c r="R135" s="585"/>
      <c r="S135" s="585"/>
    </row>
    <row r="136" spans="2:19" ht="13.15" hidden="1" customHeight="1" x14ac:dyDescent="0.3">
      <c r="B136" s="1387"/>
      <c r="C136" s="1407"/>
      <c r="D136" s="1240"/>
      <c r="E136" s="1240"/>
      <c r="F136" s="1240"/>
      <c r="G136" s="1240"/>
      <c r="H136" s="1386"/>
      <c r="I136" s="1386"/>
      <c r="J136" s="1386"/>
      <c r="K136" s="585"/>
      <c r="L136" s="585"/>
      <c r="M136" s="585"/>
      <c r="N136" s="585"/>
      <c r="O136" s="585"/>
      <c r="P136" s="585"/>
      <c r="Q136" s="585"/>
      <c r="R136" s="585"/>
      <c r="S136" s="585"/>
    </row>
    <row r="137" spans="2:19" ht="13.15" hidden="1" customHeight="1" x14ac:dyDescent="0.3">
      <c r="B137" s="1387"/>
      <c r="C137" s="1407"/>
      <c r="D137" s="1240"/>
      <c r="E137" s="1240"/>
      <c r="F137" s="1240"/>
      <c r="G137" s="1240"/>
      <c r="H137" s="1386"/>
      <c r="I137" s="1386"/>
      <c r="J137" s="1386"/>
      <c r="K137" s="585"/>
      <c r="L137" s="585"/>
      <c r="M137" s="585"/>
      <c r="N137" s="585"/>
      <c r="O137" s="585"/>
      <c r="P137" s="585"/>
      <c r="Q137" s="585"/>
      <c r="R137" s="585"/>
      <c r="S137" s="585"/>
    </row>
    <row r="138" spans="2:19" ht="13.15" hidden="1" customHeight="1" thickBot="1" x14ac:dyDescent="0.35">
      <c r="B138" s="1387"/>
      <c r="C138" s="1407"/>
      <c r="D138" s="1240"/>
      <c r="E138" s="1240"/>
      <c r="F138" s="1240"/>
      <c r="G138" s="1240"/>
      <c r="H138" s="1386"/>
      <c r="I138" s="1386"/>
      <c r="J138" s="1386"/>
      <c r="K138" s="585"/>
      <c r="L138" s="585"/>
      <c r="M138" s="585"/>
      <c r="N138" s="585"/>
      <c r="O138" s="585"/>
      <c r="P138" s="585"/>
      <c r="Q138" s="585"/>
      <c r="R138" s="585"/>
      <c r="S138" s="585"/>
    </row>
    <row r="139" spans="2:19" ht="30.75" hidden="1" customHeight="1" thickBot="1" x14ac:dyDescent="0.35">
      <c r="B139" s="1704" t="s">
        <v>1530</v>
      </c>
      <c r="C139" s="1705" t="s">
        <v>1455</v>
      </c>
      <c r="D139" s="1705" t="s">
        <v>1447</v>
      </c>
      <c r="E139" s="1706">
        <f>F88</f>
        <v>2025</v>
      </c>
      <c r="F139" s="1240"/>
      <c r="G139" s="1240"/>
      <c r="H139" s="1386"/>
      <c r="I139" s="1386"/>
      <c r="J139" s="1386"/>
      <c r="K139" s="585"/>
      <c r="L139" s="585"/>
      <c r="M139" s="585"/>
      <c r="N139" s="585"/>
      <c r="O139" s="585"/>
      <c r="P139" s="585"/>
      <c r="Q139" s="585"/>
      <c r="R139" s="585"/>
      <c r="S139" s="585"/>
    </row>
    <row r="140" spans="2:19" ht="14.1" hidden="1" customHeight="1" x14ac:dyDescent="0.3">
      <c r="B140" s="2131" t="str">
        <f>B4</f>
        <v>BUS</v>
      </c>
      <c r="C140" s="1707" t="str">
        <f>C4</f>
        <v>Nehody</v>
      </c>
      <c r="D140" s="1708" t="s">
        <v>438</v>
      </c>
      <c r="E140" s="1709">
        <f>F90</f>
        <v>637.77621019146602</v>
      </c>
      <c r="F140" s="1240"/>
      <c r="G140" s="1240"/>
      <c r="H140" s="1386"/>
      <c r="I140" s="1386"/>
      <c r="J140" s="1386"/>
      <c r="K140" s="585"/>
      <c r="L140" s="585"/>
      <c r="M140" s="585"/>
      <c r="N140" s="585"/>
      <c r="O140" s="585"/>
      <c r="P140" s="585"/>
      <c r="Q140" s="585"/>
      <c r="R140" s="585"/>
      <c r="S140" s="585"/>
    </row>
    <row r="141" spans="2:19" ht="14.1" hidden="1" customHeight="1" x14ac:dyDescent="0.3">
      <c r="B141" s="2132"/>
      <c r="C141" s="1710" t="str">
        <f t="shared" ref="C141:C149" si="68">C5</f>
        <v>Hluk</v>
      </c>
      <c r="D141" s="1711" t="s">
        <v>438</v>
      </c>
      <c r="E141" s="1712">
        <f>F115</f>
        <v>82.137845251931239</v>
      </c>
      <c r="F141" s="1240"/>
      <c r="G141" s="1240"/>
      <c r="H141" s="1386"/>
      <c r="I141" s="1386"/>
      <c r="J141" s="1386"/>
      <c r="K141" s="585"/>
      <c r="L141" s="585"/>
      <c r="M141" s="585"/>
      <c r="N141" s="585"/>
      <c r="O141" s="585"/>
      <c r="P141" s="585"/>
      <c r="Q141" s="585"/>
      <c r="R141" s="585"/>
      <c r="S141" s="585"/>
    </row>
    <row r="142" spans="2:19" ht="14.1" hidden="1" customHeight="1" x14ac:dyDescent="0.3">
      <c r="B142" s="2132" t="str">
        <f>B6</f>
        <v>Trolejbus</v>
      </c>
      <c r="C142" s="1710" t="str">
        <f t="shared" si="68"/>
        <v>Nehody</v>
      </c>
      <c r="D142" s="1711" t="s">
        <v>1474</v>
      </c>
      <c r="E142" s="1712">
        <f>F90*J89</f>
        <v>605.8873996818927</v>
      </c>
      <c r="F142" s="1240"/>
      <c r="G142" s="1240"/>
      <c r="H142" s="1386"/>
      <c r="I142" s="1386"/>
      <c r="J142" s="1386"/>
      <c r="K142" s="585"/>
      <c r="L142" s="585"/>
      <c r="M142" s="585"/>
      <c r="N142" s="585"/>
      <c r="O142" s="585"/>
      <c r="P142" s="585"/>
      <c r="Q142" s="585"/>
      <c r="R142" s="585"/>
      <c r="S142" s="585"/>
    </row>
    <row r="143" spans="2:19" ht="14.1" hidden="1" customHeight="1" x14ac:dyDescent="0.3">
      <c r="B143" s="2132"/>
      <c r="C143" s="1710" t="str">
        <f t="shared" si="68"/>
        <v>Hluk</v>
      </c>
      <c r="D143" s="1711" t="s">
        <v>631</v>
      </c>
      <c r="E143" s="1712">
        <f>E145</f>
        <v>62.811293427947419</v>
      </c>
      <c r="F143" s="1240"/>
      <c r="G143" s="1240"/>
      <c r="H143" s="1386"/>
      <c r="I143" s="1386"/>
      <c r="J143" s="1386"/>
      <c r="K143" s="585"/>
      <c r="L143" s="585"/>
      <c r="M143" s="585"/>
      <c r="N143" s="585"/>
      <c r="O143" s="585"/>
      <c r="P143" s="585"/>
      <c r="Q143" s="585"/>
      <c r="R143" s="585"/>
      <c r="S143" s="585"/>
    </row>
    <row r="144" spans="2:19" ht="14.1" hidden="1" customHeight="1" x14ac:dyDescent="0.3">
      <c r="B144" s="2132" t="str">
        <f>B8</f>
        <v>Tramvaj</v>
      </c>
      <c r="C144" s="1710" t="str">
        <f t="shared" si="68"/>
        <v>Nehody</v>
      </c>
      <c r="D144" s="1711" t="s">
        <v>1554</v>
      </c>
      <c r="E144" s="1712">
        <f>E140*J88</f>
        <v>510.22096815317286</v>
      </c>
      <c r="F144" s="1240"/>
      <c r="G144" s="1240"/>
      <c r="H144" s="1386"/>
      <c r="I144" s="1386"/>
      <c r="J144" s="1386"/>
      <c r="K144" s="585"/>
      <c r="L144" s="585"/>
      <c r="M144" s="585"/>
      <c r="N144" s="585"/>
      <c r="O144" s="585"/>
      <c r="P144" s="585"/>
      <c r="Q144" s="585"/>
      <c r="R144" s="585"/>
      <c r="S144" s="585"/>
    </row>
    <row r="145" spans="1:29" ht="14.1" hidden="1" customHeight="1" x14ac:dyDescent="0.3">
      <c r="B145" s="2132"/>
      <c r="C145" s="1710" t="str">
        <f t="shared" si="68"/>
        <v>Hluk</v>
      </c>
      <c r="D145" s="1711" t="s">
        <v>631</v>
      </c>
      <c r="E145" s="1712">
        <f>F116</f>
        <v>62.811293427947419</v>
      </c>
      <c r="F145" s="1240"/>
      <c r="G145" s="1240"/>
      <c r="H145" s="1386"/>
      <c r="I145" s="1386"/>
      <c r="J145" s="1386"/>
      <c r="K145" s="585"/>
      <c r="L145" s="585"/>
      <c r="M145" s="585"/>
      <c r="N145" s="585"/>
      <c r="O145" s="585"/>
      <c r="P145" s="585"/>
      <c r="Q145" s="585"/>
      <c r="R145" s="585"/>
      <c r="S145" s="585"/>
    </row>
    <row r="146" spans="1:29" ht="14.1" hidden="1" customHeight="1" x14ac:dyDescent="0.3">
      <c r="B146" s="2132" t="str">
        <f>B10</f>
        <v>Metro</v>
      </c>
      <c r="C146" s="1710" t="str">
        <f t="shared" si="68"/>
        <v>Nehody</v>
      </c>
      <c r="D146" s="1711" t="s">
        <v>631</v>
      </c>
      <c r="E146" s="1712">
        <f>F92</f>
        <v>30.600373721307715</v>
      </c>
      <c r="F146" s="1240"/>
      <c r="G146" s="1240"/>
      <c r="H146" s="1386"/>
      <c r="I146" s="1386"/>
      <c r="J146" s="1386"/>
      <c r="K146" s="585"/>
      <c r="L146" s="585"/>
      <c r="M146" s="585"/>
      <c r="N146" s="585"/>
      <c r="O146" s="585"/>
      <c r="P146" s="585"/>
      <c r="Q146" s="585"/>
      <c r="R146" s="585"/>
      <c r="S146" s="585"/>
    </row>
    <row r="147" spans="1:29" ht="14.1" hidden="1" customHeight="1" x14ac:dyDescent="0.3">
      <c r="B147" s="2132"/>
      <c r="C147" s="1710" t="str">
        <f t="shared" si="68"/>
        <v>Hluk</v>
      </c>
      <c r="D147" s="1711" t="s">
        <v>631</v>
      </c>
      <c r="E147" s="1712">
        <f>E145</f>
        <v>62.811293427947419</v>
      </c>
      <c r="F147" s="1240"/>
      <c r="G147" s="1240"/>
      <c r="H147" s="1386"/>
      <c r="I147" s="1386"/>
      <c r="J147" s="1386"/>
      <c r="K147" s="585"/>
      <c r="L147" s="585"/>
      <c r="M147" s="585"/>
      <c r="N147" s="585"/>
      <c r="O147" s="585"/>
      <c r="P147" s="585"/>
      <c r="Q147" s="585"/>
      <c r="R147" s="585"/>
      <c r="S147" s="585"/>
    </row>
    <row r="148" spans="1:29" ht="14.1" hidden="1" customHeight="1" x14ac:dyDescent="0.3">
      <c r="B148" s="2132" t="str">
        <f>B12</f>
        <v>IAD</v>
      </c>
      <c r="C148" s="1710" t="str">
        <f t="shared" si="68"/>
        <v>Nehody</v>
      </c>
      <c r="D148" s="1711" t="s">
        <v>439</v>
      </c>
      <c r="E148" s="1712">
        <f>F89</f>
        <v>1673.3572787599323</v>
      </c>
      <c r="F148" s="1240"/>
      <c r="G148" s="1240"/>
      <c r="H148" s="1386"/>
      <c r="I148" s="1386"/>
      <c r="J148" s="1386"/>
      <c r="K148" s="585"/>
      <c r="L148" s="585"/>
      <c r="M148" s="585"/>
      <c r="N148" s="585"/>
      <c r="O148" s="585"/>
      <c r="P148" s="585"/>
      <c r="Q148" s="585"/>
      <c r="R148" s="585"/>
      <c r="S148" s="585"/>
    </row>
    <row r="149" spans="1:29" ht="14.1" hidden="1" customHeight="1" thickBot="1" x14ac:dyDescent="0.35">
      <c r="B149" s="2133"/>
      <c r="C149" s="1713" t="str">
        <f t="shared" si="68"/>
        <v>Hluk</v>
      </c>
      <c r="D149" s="1714" t="s">
        <v>439</v>
      </c>
      <c r="E149" s="1715">
        <f>F114</f>
        <v>88.580029193259179</v>
      </c>
      <c r="F149" s="1240"/>
      <c r="G149" s="1240"/>
      <c r="H149" s="1386"/>
      <c r="I149" s="1386"/>
      <c r="J149" s="1386"/>
      <c r="K149" s="585"/>
      <c r="L149" s="585"/>
      <c r="M149" s="585"/>
      <c r="N149" s="585"/>
      <c r="O149" s="585"/>
      <c r="P149" s="585"/>
      <c r="Q149" s="585"/>
      <c r="R149" s="585"/>
      <c r="S149" s="585"/>
    </row>
    <row r="150" spans="1:29" ht="13.15" hidden="1" customHeight="1" x14ac:dyDescent="0.3">
      <c r="B150" s="1387"/>
      <c r="C150" s="1407"/>
      <c r="D150" s="1240"/>
      <c r="E150" s="1240"/>
      <c r="F150" s="1240"/>
      <c r="G150" s="1240"/>
      <c r="H150" s="1386"/>
      <c r="I150" s="1386"/>
      <c r="J150" s="1386"/>
      <c r="K150" s="585"/>
      <c r="L150" s="585"/>
      <c r="M150" s="585"/>
      <c r="N150" s="585"/>
      <c r="O150" s="585"/>
      <c r="P150" s="585"/>
      <c r="Q150" s="585"/>
      <c r="R150" s="585"/>
      <c r="S150" s="585"/>
    </row>
    <row r="151" spans="1:29" ht="15" thickBot="1" x14ac:dyDescent="0.35">
      <c r="A151" s="245"/>
      <c r="B151" s="1488"/>
      <c r="C151" s="585"/>
      <c r="D151" s="1165"/>
      <c r="E151" s="1165"/>
      <c r="F151" s="1165"/>
      <c r="G151" s="1165"/>
      <c r="H151" s="1165"/>
      <c r="I151" s="1165"/>
      <c r="J151" s="1165"/>
      <c r="K151" s="1165"/>
      <c r="L151" s="1165"/>
      <c r="M151" s="1165"/>
      <c r="N151" s="1165"/>
      <c r="O151" s="1165"/>
      <c r="P151" s="1165"/>
      <c r="Q151" s="1165"/>
      <c r="R151" s="1165"/>
      <c r="S151" s="1165"/>
      <c r="T151" s="245"/>
      <c r="U151" s="245"/>
      <c r="V151" s="245"/>
      <c r="W151" s="245"/>
      <c r="X151" s="245"/>
      <c r="Y151" s="245"/>
      <c r="Z151" s="245"/>
      <c r="AA151" s="245"/>
      <c r="AB151" s="245"/>
      <c r="AC151" s="245"/>
    </row>
    <row r="152" spans="1:29" ht="14.25" x14ac:dyDescent="0.3">
      <c r="A152" s="245"/>
      <c r="B152" s="1489" t="s">
        <v>1595</v>
      </c>
      <c r="C152" s="1292" t="str">
        <f>IF('0 Úvod'!$M$10="English",Slovnik!$D$387,Slovnik!$C$387)</f>
        <v>Změna měrných hodnot externalit</v>
      </c>
      <c r="D152" s="1293"/>
      <c r="E152" s="1996">
        <f>E2</f>
        <v>2026</v>
      </c>
      <c r="F152" s="1996">
        <f t="shared" ref="F152:S152" si="69">E152+1</f>
        <v>2027</v>
      </c>
      <c r="G152" s="1996">
        <f t="shared" si="69"/>
        <v>2028</v>
      </c>
      <c r="H152" s="1996">
        <f t="shared" si="69"/>
        <v>2029</v>
      </c>
      <c r="I152" s="1996">
        <f t="shared" si="69"/>
        <v>2030</v>
      </c>
      <c r="J152" s="1996">
        <f t="shared" si="69"/>
        <v>2031</v>
      </c>
      <c r="K152" s="1996">
        <f t="shared" si="69"/>
        <v>2032</v>
      </c>
      <c r="L152" s="1996">
        <f t="shared" si="69"/>
        <v>2033</v>
      </c>
      <c r="M152" s="1996">
        <f t="shared" si="69"/>
        <v>2034</v>
      </c>
      <c r="N152" s="1996">
        <f t="shared" si="69"/>
        <v>2035</v>
      </c>
      <c r="O152" s="1996">
        <f t="shared" si="69"/>
        <v>2036</v>
      </c>
      <c r="P152" s="1996">
        <f t="shared" si="69"/>
        <v>2037</v>
      </c>
      <c r="Q152" s="1996">
        <f t="shared" si="69"/>
        <v>2038</v>
      </c>
      <c r="R152" s="1996">
        <f t="shared" si="69"/>
        <v>2039</v>
      </c>
      <c r="S152" s="2022">
        <f t="shared" si="69"/>
        <v>2040</v>
      </c>
      <c r="T152" s="247"/>
      <c r="U152" s="247"/>
      <c r="V152" s="247"/>
      <c r="W152" s="247"/>
      <c r="X152" s="247"/>
      <c r="Y152" s="247"/>
      <c r="Z152" s="247"/>
      <c r="AA152" s="247"/>
      <c r="AB152" s="247"/>
      <c r="AC152" s="247"/>
    </row>
    <row r="153" spans="1:29" ht="15" thickBot="1" x14ac:dyDescent="0.35">
      <c r="A153" s="245"/>
      <c r="B153" s="1294" t="s">
        <v>4</v>
      </c>
      <c r="C153" s="1295"/>
      <c r="D153" s="1296" t="str">
        <f>IF('0 Úvod'!$M$10="English",Slovnik!$D$388,Slovnik!$C$388)</f>
        <v>Elasticita</v>
      </c>
      <c r="E153" s="1997"/>
      <c r="F153" s="1997"/>
      <c r="G153" s="1997"/>
      <c r="H153" s="1997"/>
      <c r="I153" s="1997"/>
      <c r="J153" s="1997"/>
      <c r="K153" s="1997"/>
      <c r="L153" s="1997"/>
      <c r="M153" s="1997"/>
      <c r="N153" s="1997"/>
      <c r="O153" s="1997"/>
      <c r="P153" s="1997"/>
      <c r="Q153" s="1997"/>
      <c r="R153" s="1997"/>
      <c r="S153" s="2023"/>
      <c r="T153" s="247"/>
      <c r="U153" s="247"/>
      <c r="V153" s="247"/>
      <c r="W153" s="247"/>
      <c r="X153" s="247"/>
      <c r="Y153" s="247"/>
      <c r="Z153" s="247"/>
      <c r="AA153" s="247"/>
      <c r="AB153" s="247"/>
      <c r="AC153" s="247"/>
    </row>
    <row r="154" spans="1:29" ht="14.25" x14ac:dyDescent="0.3">
      <c r="A154" s="245"/>
      <c r="B154" s="1490"/>
      <c r="C154" s="1298" t="str">
        <f>IF('0 Úvod'!$M$10="English",Slovnik!D389,Slovnik!C389)</f>
        <v>Hodnota růstu HDP na hlavu (resp. prognóza)</v>
      </c>
      <c r="D154" s="1491"/>
      <c r="E154" s="1492">
        <v>0</v>
      </c>
      <c r="F154" s="1493">
        <f>IF(HLOOKUP(F$152,'0 Úvod'!$D$56:$N$57,1,TRUE)=F$152,HLOOKUP(F$152,'0 Úvod'!$D$56:$N$57,2,TRUE),'0 Úvod'!$D$100)</f>
        <v>1.7100000000000001E-2</v>
      </c>
      <c r="G154" s="1493">
        <f>IF(HLOOKUP(G$152,'0 Úvod'!$D$56:$N$57,1,TRUE)=G$152,HLOOKUP(G$152,'0 Úvod'!$D$56:$N$57,2,TRUE),'0 Úvod'!$D$100)</f>
        <v>1.7100000000000001E-2</v>
      </c>
      <c r="H154" s="1493">
        <f>IF(HLOOKUP(H$152,'0 Úvod'!$D$56:$N$57,1,TRUE)=H$152,HLOOKUP(H$152,'0 Úvod'!$D$56:$N$57,2,TRUE),'0 Úvod'!$D$100)</f>
        <v>1.7100000000000001E-2</v>
      </c>
      <c r="I154" s="1493">
        <f>IF(HLOOKUP(I$152,'0 Úvod'!$D$56:$N$57,1,TRUE)=I$152,HLOOKUP(I$152,'0 Úvod'!$D$56:$N$57,2,TRUE),'0 Úvod'!$D$100)</f>
        <v>1.7100000000000001E-2</v>
      </c>
      <c r="J154" s="1493">
        <f>IF(HLOOKUP(J$152,'0 Úvod'!$D$56:$N$57,1,TRUE)=J$152,HLOOKUP(J$152,'0 Úvod'!$D$56:$N$57,2,TRUE),'0 Úvod'!$D$100)</f>
        <v>1.7100000000000001E-2</v>
      </c>
      <c r="K154" s="1493">
        <f>IF(HLOOKUP(K$152,'0 Úvod'!$D$56:$N$57,1,TRUE)=K$152,HLOOKUP(K$152,'0 Úvod'!$D$56:$N$57,2,TRUE),'0 Úvod'!$D$100)</f>
        <v>1.7100000000000001E-2</v>
      </c>
      <c r="L154" s="1493">
        <f>IF(HLOOKUP(L$152,'0 Úvod'!$D$56:$N$57,1,TRUE)=L$152,HLOOKUP(L$152,'0 Úvod'!$D$56:$N$57,2,TRUE),'0 Úvod'!$D$100)</f>
        <v>1.7100000000000001E-2</v>
      </c>
      <c r="M154" s="1493">
        <f>IF(HLOOKUP(M$152,'0 Úvod'!$D$56:$N$57,1,TRUE)=M$152,HLOOKUP(M$152,'0 Úvod'!$D$56:$N$57,2,TRUE),'0 Úvod'!$D$100)</f>
        <v>1.7100000000000001E-2</v>
      </c>
      <c r="N154" s="1493">
        <f>IF(HLOOKUP(N$152,'0 Úvod'!$D$56:$N$57,1,TRUE)=N$152,HLOOKUP(N$152,'0 Úvod'!$D$56:$N$57,2,TRUE),'0 Úvod'!$D$100)</f>
        <v>1.7100000000000001E-2</v>
      </c>
      <c r="O154" s="1493">
        <f>IF(HLOOKUP(O$152,'0 Úvod'!$D$56:$N$57,1,TRUE)=O$152,HLOOKUP(O$152,'0 Úvod'!$D$56:$N$57,2,TRUE),'0 Úvod'!$D$100)</f>
        <v>1.7100000000000001E-2</v>
      </c>
      <c r="P154" s="1493">
        <f>IF(HLOOKUP(P$152,'0 Úvod'!$D$56:$N$57,1,TRUE)=P$152,HLOOKUP(P$152,'0 Úvod'!$D$56:$N$57,2,TRUE),'0 Úvod'!$D$100)</f>
        <v>1.7100000000000001E-2</v>
      </c>
      <c r="Q154" s="1493">
        <f>IF(HLOOKUP(Q$152,'0 Úvod'!$D$56:$N$57,1,TRUE)=Q$152,HLOOKUP(Q$152,'0 Úvod'!$D$56:$N$57,2,TRUE),'0 Úvod'!$D$100)</f>
        <v>1.7100000000000001E-2</v>
      </c>
      <c r="R154" s="1493">
        <f>IF(HLOOKUP(R$152,'0 Úvod'!$D$56:$N$57,1,TRUE)=R$152,HLOOKUP(R$152,'0 Úvod'!$D$56:$N$57,2,TRUE),'0 Úvod'!$D$100)</f>
        <v>1.7100000000000001E-2</v>
      </c>
      <c r="S154" s="1494">
        <f>IF(HLOOKUP(S$152,'0 Úvod'!$D$56:$N$57,1,TRUE)=S$152,HLOOKUP(S$152,'0 Úvod'!$D$56:$N$57,2,TRUE),'0 Úvod'!$D$100)</f>
        <v>1.7100000000000001E-2</v>
      </c>
      <c r="T154" s="267"/>
      <c r="U154" s="267"/>
      <c r="V154" s="267"/>
      <c r="W154" s="267"/>
      <c r="X154" s="267"/>
      <c r="Y154" s="267"/>
      <c r="Z154" s="267"/>
      <c r="AA154" s="267"/>
      <c r="AB154" s="267"/>
      <c r="AC154" s="267"/>
    </row>
    <row r="155" spans="1:29" ht="15" thickBot="1" x14ac:dyDescent="0.35">
      <c r="A155" s="245"/>
      <c r="B155" s="1495"/>
      <c r="C155" s="1313" t="str">
        <f>IF('0 Úvod'!$M$10="English",Slovnik!D390,Slovnik!C390)</f>
        <v>Výsledný růstový koeficient externalit</v>
      </c>
      <c r="D155" s="1496">
        <v>0.7</v>
      </c>
      <c r="E155" s="1497">
        <v>1</v>
      </c>
      <c r="F155" s="1498">
        <f>E155*(1+F154*$D$155)</f>
        <v>1.01197</v>
      </c>
      <c r="G155" s="1498">
        <f t="shared" ref="G155:S155" si="70">F155*(1+G154*$D$155)</f>
        <v>1.0240832809</v>
      </c>
      <c r="H155" s="1498">
        <f t="shared" si="70"/>
        <v>1.0363415577723731</v>
      </c>
      <c r="I155" s="1498">
        <f t="shared" si="70"/>
        <v>1.0487465662189084</v>
      </c>
      <c r="J155" s="1498">
        <f t="shared" si="70"/>
        <v>1.0613000626165487</v>
      </c>
      <c r="K155" s="1498">
        <f t="shared" si="70"/>
        <v>1.0740038243660688</v>
      </c>
      <c r="L155" s="1498">
        <f t="shared" si="70"/>
        <v>1.0868596501437306</v>
      </c>
      <c r="M155" s="1498">
        <f t="shared" si="70"/>
        <v>1.099869360155951</v>
      </c>
      <c r="N155" s="1498">
        <f t="shared" si="70"/>
        <v>1.1130347963970177</v>
      </c>
      <c r="O155" s="1498">
        <f t="shared" si="70"/>
        <v>1.1263578229098901</v>
      </c>
      <c r="P155" s="1498">
        <f t="shared" si="70"/>
        <v>1.1398403260501215</v>
      </c>
      <c r="Q155" s="1498">
        <f t="shared" si="70"/>
        <v>1.1534842147529416</v>
      </c>
      <c r="R155" s="1498">
        <f t="shared" si="70"/>
        <v>1.1672914208035343</v>
      </c>
      <c r="S155" s="1499">
        <f t="shared" si="70"/>
        <v>1.1812638991105526</v>
      </c>
      <c r="T155" s="281"/>
      <c r="U155" s="281"/>
      <c r="V155" s="281"/>
      <c r="W155" s="281"/>
      <c r="X155" s="281"/>
      <c r="Y155" s="281"/>
      <c r="Z155" s="281"/>
      <c r="AA155" s="281"/>
      <c r="AB155" s="281"/>
      <c r="AC155" s="281"/>
    </row>
    <row r="156" spans="1:29" ht="14.25" thickBot="1" x14ac:dyDescent="0.35">
      <c r="A156" s="245"/>
      <c r="B156" s="1349"/>
      <c r="C156" s="1165"/>
      <c r="D156" s="1167"/>
      <c r="E156" s="1167"/>
      <c r="F156" s="1167"/>
      <c r="G156" s="1167"/>
      <c r="H156" s="1167"/>
      <c r="I156" s="1167"/>
      <c r="J156" s="1167"/>
      <c r="K156" s="1167"/>
      <c r="L156" s="1167"/>
      <c r="M156" s="1167"/>
      <c r="N156" s="1167"/>
      <c r="O156" s="1167"/>
      <c r="P156" s="1167"/>
      <c r="Q156" s="1167"/>
      <c r="R156" s="1167"/>
      <c r="S156" s="1167"/>
      <c r="T156" s="236"/>
      <c r="U156" s="236"/>
      <c r="V156" s="236"/>
      <c r="W156" s="236"/>
      <c r="X156" s="236"/>
      <c r="Y156" s="236"/>
      <c r="Z156" s="236"/>
      <c r="AA156" s="236"/>
      <c r="AB156" s="236"/>
      <c r="AC156" s="236"/>
    </row>
    <row r="157" spans="1:29" ht="14.25" x14ac:dyDescent="0.3">
      <c r="A157" s="245"/>
      <c r="B157" s="1489" t="str">
        <f>B152</f>
        <v>9.6.</v>
      </c>
      <c r="C157" s="1320" t="str">
        <f>C152</f>
        <v>Změna měrných hodnot externalit</v>
      </c>
      <c r="D157" s="1321"/>
      <c r="E157" s="2024">
        <f>S152+1</f>
        <v>2041</v>
      </c>
      <c r="F157" s="1996">
        <f t="shared" ref="F157:S157" si="71">E157+1</f>
        <v>2042</v>
      </c>
      <c r="G157" s="1996">
        <f t="shared" si="71"/>
        <v>2043</v>
      </c>
      <c r="H157" s="1996">
        <f t="shared" si="71"/>
        <v>2044</v>
      </c>
      <c r="I157" s="1996">
        <f t="shared" si="71"/>
        <v>2045</v>
      </c>
      <c r="J157" s="1996">
        <f t="shared" si="71"/>
        <v>2046</v>
      </c>
      <c r="K157" s="1996">
        <f t="shared" si="71"/>
        <v>2047</v>
      </c>
      <c r="L157" s="1996">
        <f t="shared" si="71"/>
        <v>2048</v>
      </c>
      <c r="M157" s="1996">
        <f t="shared" si="71"/>
        <v>2049</v>
      </c>
      <c r="N157" s="1996">
        <f t="shared" si="71"/>
        <v>2050</v>
      </c>
      <c r="O157" s="1996">
        <f t="shared" si="71"/>
        <v>2051</v>
      </c>
      <c r="P157" s="1996">
        <f t="shared" si="71"/>
        <v>2052</v>
      </c>
      <c r="Q157" s="1996">
        <f t="shared" si="71"/>
        <v>2053</v>
      </c>
      <c r="R157" s="1996">
        <f t="shared" si="71"/>
        <v>2054</v>
      </c>
      <c r="S157" s="2022">
        <f t="shared" si="71"/>
        <v>2055</v>
      </c>
      <c r="T157" s="247"/>
      <c r="U157" s="247"/>
      <c r="V157" s="247"/>
      <c r="W157" s="247"/>
      <c r="X157" s="247"/>
      <c r="Y157" s="247"/>
      <c r="Z157" s="247"/>
      <c r="AA157" s="247"/>
      <c r="AB157" s="247"/>
      <c r="AC157" s="247"/>
    </row>
    <row r="158" spans="1:29" ht="15" thickBot="1" x14ac:dyDescent="0.35">
      <c r="A158" s="245"/>
      <c r="B158" s="1294" t="s">
        <v>5</v>
      </c>
      <c r="C158" s="1295"/>
      <c r="D158" s="1296" t="str">
        <f>D153</f>
        <v>Elasticita</v>
      </c>
      <c r="E158" s="2025"/>
      <c r="F158" s="1997"/>
      <c r="G158" s="1997"/>
      <c r="H158" s="1997"/>
      <c r="I158" s="1997"/>
      <c r="J158" s="1997"/>
      <c r="K158" s="1997"/>
      <c r="L158" s="1997"/>
      <c r="M158" s="1997"/>
      <c r="N158" s="1997"/>
      <c r="O158" s="1997"/>
      <c r="P158" s="1997"/>
      <c r="Q158" s="1997"/>
      <c r="R158" s="1997"/>
      <c r="S158" s="2023"/>
      <c r="T158" s="247"/>
      <c r="U158" s="247"/>
      <c r="V158" s="247"/>
      <c r="W158" s="247"/>
      <c r="X158" s="247"/>
      <c r="Y158" s="247"/>
      <c r="Z158" s="247"/>
      <c r="AA158" s="247"/>
      <c r="AB158" s="247"/>
      <c r="AC158" s="247"/>
    </row>
    <row r="159" spans="1:29" ht="14.25" x14ac:dyDescent="0.3">
      <c r="A159" s="245"/>
      <c r="B159" s="1490"/>
      <c r="C159" s="1298" t="str">
        <f>C154</f>
        <v>Hodnota růstu HDP na hlavu (resp. prognóza)</v>
      </c>
      <c r="D159" s="1500"/>
      <c r="E159" s="1493">
        <f>IF(HLOOKUP(E$157,'0 Úvod'!$D$56:$N$57,1,TRUE)=E$157,HLOOKUP(E$157,'0 Úvod'!$D$56:$N$57,2,TRUE),'0 Úvod'!$D$100)</f>
        <v>1.7100000000000001E-2</v>
      </c>
      <c r="F159" s="1493">
        <f>IF(HLOOKUP(F$157,'0 Úvod'!$D$56:$N$57,1,TRUE)=F$157,HLOOKUP(F$157,'0 Úvod'!$D$56:$N$57,2,TRUE),'0 Úvod'!$D$100)</f>
        <v>1.7100000000000001E-2</v>
      </c>
      <c r="G159" s="1493">
        <f>IF(HLOOKUP(G$157,'0 Úvod'!$D$56:$N$57,1,TRUE)=G$157,HLOOKUP(G$157,'0 Úvod'!$D$56:$N$57,2,TRUE),'0 Úvod'!$D$100)</f>
        <v>1.7100000000000001E-2</v>
      </c>
      <c r="H159" s="1493">
        <f>IF(HLOOKUP(H$157,'0 Úvod'!$D$56:$N$57,1,TRUE)=H$157,HLOOKUP(H$157,'0 Úvod'!$D$56:$N$57,2,TRUE),'0 Úvod'!$D$100)</f>
        <v>1.7100000000000001E-2</v>
      </c>
      <c r="I159" s="1493">
        <f>IF(HLOOKUP(I$157,'0 Úvod'!$D$56:$N$57,1,TRUE)=I$157,HLOOKUP(I$157,'0 Úvod'!$D$56:$N$57,2,TRUE),'0 Úvod'!$D$100)</f>
        <v>1.7100000000000001E-2</v>
      </c>
      <c r="J159" s="1493">
        <f>IF(HLOOKUP(J$157,'0 Úvod'!$D$56:$N$57,1,TRUE)=J$157,HLOOKUP(J$157,'0 Úvod'!$D$56:$N$57,2,TRUE),'0 Úvod'!$D$100)</f>
        <v>1.7100000000000001E-2</v>
      </c>
      <c r="K159" s="1493">
        <f>IF(HLOOKUP(K$157,'0 Úvod'!$D$56:$N$57,1,TRUE)=K$157,HLOOKUP(K$157,'0 Úvod'!$D$56:$N$57,2,TRUE),'0 Úvod'!$D$100)</f>
        <v>1.7100000000000001E-2</v>
      </c>
      <c r="L159" s="1493">
        <f>IF(HLOOKUP(L$157,'0 Úvod'!$D$56:$N$57,1,TRUE)=L$157,HLOOKUP(L$157,'0 Úvod'!$D$56:$N$57,2,TRUE),'0 Úvod'!$D$100)</f>
        <v>1.7100000000000001E-2</v>
      </c>
      <c r="M159" s="1493">
        <f>IF(HLOOKUP(M$157,'0 Úvod'!$D$56:$N$57,1,TRUE)=M$157,HLOOKUP(M$157,'0 Úvod'!$D$56:$N$57,2,TRUE),'0 Úvod'!$D$100)</f>
        <v>1.7100000000000001E-2</v>
      </c>
      <c r="N159" s="1493">
        <f>IF(HLOOKUP(N$157,'0 Úvod'!$D$56:$N$57,1,TRUE)=N$157,HLOOKUP(N$157,'0 Úvod'!$D$56:$N$57,2,TRUE),'0 Úvod'!$D$100)</f>
        <v>1.7100000000000001E-2</v>
      </c>
      <c r="O159" s="1493">
        <f>IF(HLOOKUP(O$157,'0 Úvod'!$D$56:$N$57,1,TRUE)=O$157,HLOOKUP(O$157,'0 Úvod'!$D$56:$N$57,2,TRUE),'0 Úvod'!$D$100)</f>
        <v>1.7100000000000001E-2</v>
      </c>
      <c r="P159" s="1493">
        <f>IF(HLOOKUP(P$157,'0 Úvod'!$D$56:$N$57,1,TRUE)=P$157,HLOOKUP(P$157,'0 Úvod'!$D$56:$N$57,2,TRUE),'0 Úvod'!$D$100)</f>
        <v>1.7100000000000001E-2</v>
      </c>
      <c r="Q159" s="1493">
        <f>IF(HLOOKUP(Q$157,'0 Úvod'!$D$56:$N$57,1,TRUE)=Q$157,HLOOKUP(Q$157,'0 Úvod'!$D$56:$N$57,2,TRUE),'0 Úvod'!$D$100)</f>
        <v>1.7100000000000001E-2</v>
      </c>
      <c r="R159" s="1493">
        <f>IF(HLOOKUP(R$157,'0 Úvod'!$D$56:$N$57,1,TRUE)=R$157,HLOOKUP(R$157,'0 Úvod'!$D$56:$N$57,2,TRUE),'0 Úvod'!$D$100)</f>
        <v>1.7100000000000001E-2</v>
      </c>
      <c r="S159" s="1494">
        <f>IF(HLOOKUP(S$157,'0 Úvod'!$D$56:$N$57,1,TRUE)=S$157,HLOOKUP(S$157,'0 Úvod'!$D$56:$N$57,2,TRUE),'0 Úvod'!$D$100)</f>
        <v>1.7100000000000001E-2</v>
      </c>
      <c r="T159" s="267"/>
      <c r="U159" s="267"/>
      <c r="V159" s="267"/>
      <c r="W159" s="267"/>
      <c r="X159" s="267"/>
      <c r="Y159" s="267"/>
      <c r="Z159" s="267"/>
      <c r="AA159" s="267"/>
      <c r="AB159" s="267"/>
      <c r="AC159" s="267"/>
    </row>
    <row r="160" spans="1:29" ht="15" thickBot="1" x14ac:dyDescent="0.35">
      <c r="A160" s="245"/>
      <c r="B160" s="1501"/>
      <c r="C160" s="1313" t="str">
        <f>C155</f>
        <v>Výsledný růstový koeficient externalit</v>
      </c>
      <c r="D160" s="1502"/>
      <c r="E160" s="1503">
        <f>S155*(1+E159*$D$155)</f>
        <v>1.1954036279829059</v>
      </c>
      <c r="F160" s="1503">
        <f>E160*(1+F159*$D$155)</f>
        <v>1.2097126094098614</v>
      </c>
      <c r="G160" s="1503">
        <f t="shared" ref="G160:S160" si="72">F160*(1+G159*$D$155)</f>
        <v>1.2241928693444974</v>
      </c>
      <c r="H160" s="1503">
        <f t="shared" si="72"/>
        <v>1.2388464579905512</v>
      </c>
      <c r="I160" s="1503">
        <f t="shared" si="72"/>
        <v>1.2536754500926981</v>
      </c>
      <c r="J160" s="1503">
        <f t="shared" si="72"/>
        <v>1.2686819452303078</v>
      </c>
      <c r="K160" s="1503">
        <f t="shared" si="72"/>
        <v>1.2838680681147145</v>
      </c>
      <c r="L160" s="1503">
        <f t="shared" si="72"/>
        <v>1.2992359688900477</v>
      </c>
      <c r="M160" s="1503">
        <f t="shared" si="72"/>
        <v>1.3147878234376615</v>
      </c>
      <c r="N160" s="1503">
        <f t="shared" si="72"/>
        <v>1.3305258336842103</v>
      </c>
      <c r="O160" s="1503">
        <f t="shared" si="72"/>
        <v>1.3464522279134103</v>
      </c>
      <c r="P160" s="1503">
        <f t="shared" si="72"/>
        <v>1.3625692610815339</v>
      </c>
      <c r="Q160" s="1503">
        <f t="shared" si="72"/>
        <v>1.3788792151366798</v>
      </c>
      <c r="R160" s="1503">
        <f t="shared" si="72"/>
        <v>1.395384399341866</v>
      </c>
      <c r="S160" s="1504">
        <f t="shared" si="72"/>
        <v>1.4120871506019881</v>
      </c>
      <c r="T160" s="268"/>
      <c r="U160" s="268"/>
      <c r="V160" s="268"/>
      <c r="W160" s="268"/>
      <c r="X160" s="268"/>
      <c r="Y160" s="268"/>
      <c r="Z160" s="268"/>
      <c r="AA160" s="268"/>
      <c r="AB160" s="268"/>
      <c r="AC160" s="268"/>
    </row>
    <row r="161" spans="1:29" ht="14.25" x14ac:dyDescent="0.3">
      <c r="A161" s="245"/>
      <c r="B161" s="1488"/>
      <c r="C161" s="585"/>
      <c r="D161" s="1165"/>
      <c r="E161" s="1165"/>
      <c r="F161" s="1165"/>
      <c r="G161" s="1165"/>
      <c r="H161" s="1165"/>
      <c r="I161" s="1165"/>
      <c r="J161" s="1165"/>
      <c r="K161" s="1165"/>
      <c r="L161" s="1165"/>
      <c r="M161" s="1165"/>
      <c r="N161" s="1165"/>
      <c r="O161" s="1165"/>
      <c r="P161" s="1165"/>
      <c r="Q161" s="1165"/>
      <c r="R161" s="1165"/>
      <c r="S161" s="1165"/>
    </row>
    <row r="162" spans="1:29" ht="15" thickBot="1" x14ac:dyDescent="0.35">
      <c r="A162" s="245"/>
      <c r="B162" s="1488"/>
      <c r="C162" s="585"/>
      <c r="D162" s="1165"/>
      <c r="E162" s="1165"/>
      <c r="F162" s="1165"/>
      <c r="G162" s="1165"/>
      <c r="H162" s="1165"/>
      <c r="I162" s="1165"/>
      <c r="J162" s="1165"/>
      <c r="K162" s="1165"/>
      <c r="L162" s="1165"/>
      <c r="M162" s="1165"/>
      <c r="N162" s="1165"/>
      <c r="O162" s="1165"/>
      <c r="P162" s="1165"/>
      <c r="Q162" s="1165"/>
      <c r="R162" s="1165"/>
      <c r="S162" s="1165"/>
    </row>
    <row r="163" spans="1:29" ht="14.25" customHeight="1" x14ac:dyDescent="0.3">
      <c r="B163" s="2001" t="str">
        <f>IF('0 Úvod'!$M$10="English",Slovnik!$D$391,Slovnik!$C$391)</f>
        <v>Komentáře</v>
      </c>
      <c r="C163" s="2002"/>
      <c r="D163" s="2002"/>
      <c r="E163" s="2002"/>
      <c r="F163" s="2002"/>
      <c r="G163" s="2002"/>
      <c r="H163" s="2002"/>
      <c r="I163" s="2002"/>
      <c r="J163" s="2002"/>
      <c r="K163" s="2002"/>
      <c r="L163" s="2002"/>
      <c r="M163" s="2002"/>
      <c r="N163" s="2002"/>
      <c r="O163" s="2002"/>
      <c r="P163" s="2002"/>
      <c r="Q163" s="2002"/>
      <c r="R163" s="2002"/>
      <c r="S163" s="2003"/>
    </row>
    <row r="164" spans="1:29" ht="15" customHeight="1" thickBot="1" x14ac:dyDescent="0.35">
      <c r="B164" s="2004"/>
      <c r="C164" s="2005"/>
      <c r="D164" s="2005"/>
      <c r="E164" s="2005"/>
      <c r="F164" s="2005"/>
      <c r="G164" s="2005"/>
      <c r="H164" s="2005"/>
      <c r="I164" s="2005"/>
      <c r="J164" s="2005"/>
      <c r="K164" s="2005"/>
      <c r="L164" s="2005"/>
      <c r="M164" s="2005"/>
      <c r="N164" s="2005"/>
      <c r="O164" s="2005"/>
      <c r="P164" s="2005"/>
      <c r="Q164" s="2005"/>
      <c r="R164" s="2005"/>
      <c r="S164" s="2006"/>
    </row>
    <row r="165" spans="1:29" ht="15" thickBot="1" x14ac:dyDescent="0.35">
      <c r="B165" s="633" t="s">
        <v>1560</v>
      </c>
      <c r="C165" s="1505"/>
      <c r="D165" s="1506"/>
      <c r="E165" s="1506"/>
      <c r="F165" s="1506"/>
      <c r="G165" s="1507"/>
      <c r="H165" s="1506"/>
      <c r="I165" s="1506"/>
      <c r="J165" s="1506"/>
      <c r="K165" s="1506"/>
      <c r="L165" s="1506"/>
      <c r="M165" s="1506"/>
      <c r="N165" s="1506"/>
      <c r="O165" s="1506"/>
      <c r="P165" s="1506"/>
      <c r="Q165" s="1508"/>
      <c r="R165" s="1508"/>
      <c r="S165" s="1509"/>
    </row>
    <row r="166" spans="1:29" ht="14.25" x14ac:dyDescent="0.3">
      <c r="B166" s="583"/>
      <c r="C166" s="584"/>
      <c r="D166" s="584"/>
      <c r="E166" s="584"/>
      <c r="F166" s="584"/>
      <c r="G166" s="584"/>
      <c r="H166" s="584"/>
      <c r="I166" s="584"/>
      <c r="J166" s="584"/>
      <c r="K166" s="584"/>
      <c r="L166" s="584"/>
      <c r="M166" s="584"/>
      <c r="N166" s="584"/>
      <c r="O166" s="584"/>
      <c r="P166" s="584"/>
      <c r="Q166" s="585"/>
      <c r="R166" s="585"/>
      <c r="S166" s="585"/>
    </row>
    <row r="167" spans="1:29" ht="17.25" hidden="1" customHeight="1" x14ac:dyDescent="0.3">
      <c r="B167" s="583"/>
      <c r="C167" s="584"/>
      <c r="D167" s="584"/>
      <c r="E167" s="584"/>
      <c r="F167" s="584"/>
      <c r="G167" s="584"/>
      <c r="H167" s="584"/>
      <c r="I167" s="584"/>
      <c r="J167" s="584"/>
      <c r="K167" s="584"/>
      <c r="L167" s="584"/>
      <c r="M167" s="584"/>
      <c r="N167" s="584"/>
      <c r="O167" s="584"/>
      <c r="P167" s="584"/>
      <c r="Q167" s="585"/>
      <c r="R167" s="585"/>
      <c r="S167" s="585"/>
    </row>
    <row r="168" spans="1:29" ht="14.25" hidden="1" x14ac:dyDescent="0.3">
      <c r="B168" s="583"/>
      <c r="C168" s="584"/>
      <c r="D168" s="584"/>
      <c r="E168" s="584"/>
      <c r="F168" s="584"/>
      <c r="G168" s="584"/>
      <c r="H168" s="584"/>
      <c r="I168" s="584"/>
      <c r="J168" s="584"/>
      <c r="K168" s="584"/>
      <c r="L168" s="584"/>
      <c r="M168" s="584"/>
      <c r="N168" s="584"/>
      <c r="O168" s="584"/>
      <c r="P168" s="584"/>
      <c r="Q168" s="585"/>
      <c r="R168" s="585"/>
      <c r="S168" s="585"/>
    </row>
    <row r="169" spans="1:29" ht="14.25" hidden="1" x14ac:dyDescent="0.3">
      <c r="B169" s="583"/>
      <c r="C169" s="584"/>
      <c r="D169" s="584"/>
      <c r="E169" s="584"/>
      <c r="F169" s="584"/>
      <c r="G169" s="584"/>
      <c r="H169" s="584"/>
      <c r="I169" s="584"/>
      <c r="J169" s="584"/>
      <c r="K169" s="584"/>
      <c r="L169" s="584"/>
      <c r="M169" s="584"/>
      <c r="N169" s="584"/>
      <c r="O169" s="584"/>
      <c r="P169" s="584"/>
      <c r="Q169" s="585"/>
      <c r="R169" s="585"/>
      <c r="S169" s="585"/>
    </row>
    <row r="170" spans="1:29" ht="14.25" hidden="1" x14ac:dyDescent="0.3">
      <c r="B170" s="583"/>
      <c r="C170" s="584"/>
      <c r="D170" s="584"/>
      <c r="E170" s="584"/>
      <c r="F170" s="584"/>
      <c r="G170" s="584"/>
      <c r="H170" s="584"/>
      <c r="I170" s="584"/>
      <c r="J170" s="584"/>
      <c r="K170" s="584"/>
      <c r="L170" s="584"/>
      <c r="M170" s="584"/>
      <c r="N170" s="584"/>
      <c r="O170" s="584"/>
      <c r="P170" s="584"/>
      <c r="Q170" s="585"/>
      <c r="R170" s="585"/>
      <c r="S170" s="585"/>
    </row>
    <row r="171" spans="1:29" ht="15" hidden="1" thickBot="1" x14ac:dyDescent="0.35">
      <c r="B171" s="583" t="s">
        <v>1510</v>
      </c>
      <c r="C171" s="584"/>
      <c r="D171" s="584"/>
      <c r="E171" s="584"/>
      <c r="F171" s="584"/>
      <c r="G171" s="584"/>
      <c r="H171" s="584"/>
      <c r="I171" s="584"/>
      <c r="J171" s="584"/>
      <c r="K171" s="584"/>
      <c r="L171" s="584"/>
      <c r="M171" s="584"/>
      <c r="N171" s="584"/>
      <c r="O171" s="584"/>
      <c r="P171" s="584"/>
      <c r="Q171" s="585"/>
      <c r="R171" s="585"/>
      <c r="S171" s="585"/>
    </row>
    <row r="172" spans="1:29" ht="15" hidden="1" thickBot="1" x14ac:dyDescent="0.35">
      <c r="B172" s="486"/>
      <c r="C172" s="487"/>
      <c r="D172" s="487"/>
      <c r="E172" s="487"/>
      <c r="F172" s="487"/>
      <c r="G172" s="487"/>
      <c r="H172" s="487"/>
      <c r="I172" s="487"/>
      <c r="J172" s="487"/>
      <c r="K172" s="487"/>
      <c r="L172" s="487"/>
      <c r="M172" s="487"/>
      <c r="N172" s="487"/>
      <c r="O172" s="487"/>
      <c r="P172" s="487"/>
      <c r="Q172" s="297"/>
      <c r="R172" s="297"/>
      <c r="S172" s="297"/>
    </row>
    <row r="173" spans="1:29" ht="14.25" hidden="1" x14ac:dyDescent="0.3">
      <c r="A173" s="245"/>
      <c r="B173" s="238"/>
      <c r="C173" s="272" t="s">
        <v>1509</v>
      </c>
      <c r="D173" s="275"/>
      <c r="E173" s="2129">
        <f>E2</f>
        <v>2026</v>
      </c>
      <c r="F173" s="2127">
        <f t="shared" ref="F173" si="73">E173+1</f>
        <v>2027</v>
      </c>
      <c r="G173" s="2127">
        <f t="shared" ref="G173" si="74">F173+1</f>
        <v>2028</v>
      </c>
      <c r="H173" s="2127">
        <f t="shared" ref="H173" si="75">G173+1</f>
        <v>2029</v>
      </c>
      <c r="I173" s="2127">
        <f t="shared" ref="I173" si="76">H173+1</f>
        <v>2030</v>
      </c>
      <c r="J173" s="2127">
        <f t="shared" ref="J173" si="77">I173+1</f>
        <v>2031</v>
      </c>
      <c r="K173" s="2127">
        <f t="shared" ref="K173" si="78">J173+1</f>
        <v>2032</v>
      </c>
      <c r="L173" s="2127">
        <f t="shared" ref="L173" si="79">K173+1</f>
        <v>2033</v>
      </c>
      <c r="M173" s="2127">
        <f t="shared" ref="M173" si="80">L173+1</f>
        <v>2034</v>
      </c>
      <c r="N173" s="2127">
        <f t="shared" ref="N173" si="81">M173+1</f>
        <v>2035</v>
      </c>
      <c r="O173" s="2127">
        <f t="shared" ref="O173" si="82">N173+1</f>
        <v>2036</v>
      </c>
      <c r="P173" s="2127">
        <f t="shared" ref="P173" si="83">O173+1</f>
        <v>2037</v>
      </c>
      <c r="Q173" s="2127">
        <f t="shared" ref="Q173" si="84">P173+1</f>
        <v>2038</v>
      </c>
      <c r="R173" s="2127">
        <f t="shared" ref="R173" si="85">Q173+1</f>
        <v>2039</v>
      </c>
      <c r="S173" s="2125">
        <f t="shared" ref="S173" si="86">R173+1</f>
        <v>2040</v>
      </c>
      <c r="T173" s="247"/>
      <c r="U173" s="247"/>
      <c r="V173" s="247"/>
      <c r="W173" s="247"/>
      <c r="X173" s="247"/>
      <c r="Y173" s="247"/>
      <c r="Z173" s="247"/>
      <c r="AA173" s="247"/>
      <c r="AB173" s="247"/>
      <c r="AC173" s="247"/>
    </row>
    <row r="174" spans="1:29" ht="15" hidden="1" thickBot="1" x14ac:dyDescent="0.35">
      <c r="A174" s="245"/>
      <c r="B174" s="256" t="s">
        <v>4</v>
      </c>
      <c r="C174" s="544" t="s">
        <v>1458</v>
      </c>
      <c r="D174" s="298" t="str">
        <f>IF('0 Úvod'!$M$10="English",Slovnik!$D$284,Slovnik!$C$284)</f>
        <v>Celkem</v>
      </c>
      <c r="E174" s="2134"/>
      <c r="F174" s="2135"/>
      <c r="G174" s="2135"/>
      <c r="H174" s="2135"/>
      <c r="I174" s="2135"/>
      <c r="J174" s="2135"/>
      <c r="K174" s="2135"/>
      <c r="L174" s="2135"/>
      <c r="M174" s="2135"/>
      <c r="N174" s="2135"/>
      <c r="O174" s="2135"/>
      <c r="P174" s="2135"/>
      <c r="Q174" s="2135"/>
      <c r="R174" s="2135"/>
      <c r="S174" s="2136"/>
      <c r="T174" s="247"/>
      <c r="U174" s="247"/>
      <c r="V174" s="247"/>
      <c r="W174" s="247"/>
      <c r="X174" s="247"/>
      <c r="Y174" s="247"/>
      <c r="Z174" s="247"/>
      <c r="AA174" s="247"/>
      <c r="AB174" s="247"/>
      <c r="AC174" s="247"/>
    </row>
    <row r="175" spans="1:29" ht="14.25" hidden="1" x14ac:dyDescent="0.3">
      <c r="A175" s="245"/>
      <c r="B175" s="2137" t="s">
        <v>438</v>
      </c>
      <c r="C175" s="601"/>
      <c r="D175" s="586">
        <f t="shared" ref="D175:D184" si="87">SUM(E175:S175,E189:S189)</f>
        <v>0</v>
      </c>
      <c r="E175" s="602">
        <f>'3 Doprava a přeprava'!D60</f>
        <v>0</v>
      </c>
      <c r="F175" s="592">
        <f>'3 Doprava a přeprava'!E60</f>
        <v>0</v>
      </c>
      <c r="G175" s="592">
        <f>'3 Doprava a přeprava'!F60</f>
        <v>0</v>
      </c>
      <c r="H175" s="592">
        <f>'3 Doprava a přeprava'!G60</f>
        <v>0</v>
      </c>
      <c r="I175" s="592">
        <f>'3 Doprava a přeprava'!H60</f>
        <v>0</v>
      </c>
      <c r="J175" s="592">
        <f>'3 Doprava a přeprava'!I60</f>
        <v>0</v>
      </c>
      <c r="K175" s="592">
        <f>'3 Doprava a přeprava'!J60</f>
        <v>0</v>
      </c>
      <c r="L175" s="592">
        <f>'3 Doprava a přeprava'!K60</f>
        <v>0</v>
      </c>
      <c r="M175" s="592">
        <f>'3 Doprava a přeprava'!L60</f>
        <v>0</v>
      </c>
      <c r="N175" s="592">
        <f>'3 Doprava a přeprava'!M60</f>
        <v>0</v>
      </c>
      <c r="O175" s="592">
        <f>'3 Doprava a přeprava'!N60</f>
        <v>0</v>
      </c>
      <c r="P175" s="592">
        <f>'3 Doprava a přeprava'!O60</f>
        <v>0</v>
      </c>
      <c r="Q175" s="592">
        <f>'3 Doprava a přeprava'!P60</f>
        <v>0</v>
      </c>
      <c r="R175" s="592">
        <f>'3 Doprava a přeprava'!Q60</f>
        <v>0</v>
      </c>
      <c r="S175" s="593">
        <f>'3 Doprava a přeprava'!R60</f>
        <v>0</v>
      </c>
      <c r="T175" s="236"/>
      <c r="U175" s="236"/>
      <c r="V175" s="236"/>
      <c r="W175" s="236"/>
      <c r="X175" s="236"/>
      <c r="Y175" s="236"/>
      <c r="Z175" s="236"/>
      <c r="AA175" s="236"/>
      <c r="AB175" s="236"/>
      <c r="AC175" s="236"/>
    </row>
    <row r="176" spans="1:29" ht="14.25" hidden="1" x14ac:dyDescent="0.3">
      <c r="A176" s="245"/>
      <c r="B176" s="2138"/>
      <c r="C176" s="603"/>
      <c r="D176" s="587">
        <f t="shared" si="87"/>
        <v>0</v>
      </c>
      <c r="E176" s="604">
        <f>'3 Doprava a přeprava'!D60</f>
        <v>0</v>
      </c>
      <c r="F176" s="599">
        <f>'3 Doprava a přeprava'!E60</f>
        <v>0</v>
      </c>
      <c r="G176" s="599">
        <f>'3 Doprava a přeprava'!F60</f>
        <v>0</v>
      </c>
      <c r="H176" s="599">
        <f>'3 Doprava a přeprava'!G60</f>
        <v>0</v>
      </c>
      <c r="I176" s="599">
        <f>'3 Doprava a přeprava'!H60</f>
        <v>0</v>
      </c>
      <c r="J176" s="599">
        <f>'3 Doprava a přeprava'!I60</f>
        <v>0</v>
      </c>
      <c r="K176" s="599">
        <f>'3 Doprava a přeprava'!J60</f>
        <v>0</v>
      </c>
      <c r="L176" s="599">
        <f>'3 Doprava a přeprava'!K60</f>
        <v>0</v>
      </c>
      <c r="M176" s="599">
        <f>'3 Doprava a přeprava'!L60</f>
        <v>0</v>
      </c>
      <c r="N176" s="599">
        <f>'3 Doprava a přeprava'!M60</f>
        <v>0</v>
      </c>
      <c r="O176" s="599">
        <f>'3 Doprava a přeprava'!N60</f>
        <v>0</v>
      </c>
      <c r="P176" s="599">
        <f>'3 Doprava a přeprava'!O60</f>
        <v>0</v>
      </c>
      <c r="Q176" s="599">
        <f>'3 Doprava a přeprava'!P60</f>
        <v>0</v>
      </c>
      <c r="R176" s="599">
        <f>'3 Doprava a přeprava'!Q60</f>
        <v>0</v>
      </c>
      <c r="S176" s="600">
        <f>'3 Doprava a přeprava'!R60</f>
        <v>0</v>
      </c>
      <c r="T176" s="236"/>
      <c r="U176" s="236"/>
      <c r="V176" s="236"/>
      <c r="W176" s="236"/>
      <c r="X176" s="236"/>
      <c r="Y176" s="236"/>
      <c r="Z176" s="236"/>
      <c r="AA176" s="236"/>
      <c r="AB176" s="236"/>
      <c r="AC176" s="236"/>
    </row>
    <row r="177" spans="1:29" s="289" customFormat="1" ht="14.25" hidden="1" x14ac:dyDescent="0.3">
      <c r="A177" s="287"/>
      <c r="B177" s="2139" t="s">
        <v>1448</v>
      </c>
      <c r="C177" s="605"/>
      <c r="D177" s="580">
        <f t="shared" si="87"/>
        <v>0</v>
      </c>
      <c r="E177" s="606">
        <f>'3 Doprava a přeprava'!D61</f>
        <v>0</v>
      </c>
      <c r="F177" s="597">
        <f>'3 Doprava a přeprava'!E61</f>
        <v>0</v>
      </c>
      <c r="G177" s="597">
        <f>'3 Doprava a přeprava'!F61</f>
        <v>0</v>
      </c>
      <c r="H177" s="597">
        <f>'3 Doprava a přeprava'!G61</f>
        <v>0</v>
      </c>
      <c r="I177" s="597">
        <f>'3 Doprava a přeprava'!H61</f>
        <v>0</v>
      </c>
      <c r="J177" s="597">
        <f>'3 Doprava a přeprava'!I61</f>
        <v>0</v>
      </c>
      <c r="K177" s="597">
        <f>'3 Doprava a přeprava'!J61</f>
        <v>0</v>
      </c>
      <c r="L177" s="597">
        <f>'3 Doprava a přeprava'!K61</f>
        <v>0</v>
      </c>
      <c r="M177" s="597">
        <f>'3 Doprava a přeprava'!L61</f>
        <v>0</v>
      </c>
      <c r="N177" s="597">
        <f>'3 Doprava a přeprava'!M61</f>
        <v>0</v>
      </c>
      <c r="O177" s="597">
        <f>'3 Doprava a přeprava'!N61</f>
        <v>0</v>
      </c>
      <c r="P177" s="597">
        <f>'3 Doprava a přeprava'!O61</f>
        <v>0</v>
      </c>
      <c r="Q177" s="597">
        <f>'3 Doprava a přeprava'!P61</f>
        <v>0</v>
      </c>
      <c r="R177" s="597">
        <f>'3 Doprava a přeprava'!Q61</f>
        <v>0</v>
      </c>
      <c r="S177" s="598">
        <f>'3 Doprava a přeprava'!R61</f>
        <v>0</v>
      </c>
      <c r="T177" s="288"/>
      <c r="U177" s="288"/>
      <c r="V177" s="288"/>
      <c r="W177" s="288"/>
      <c r="X177" s="288"/>
      <c r="Y177" s="288"/>
      <c r="Z177" s="288"/>
      <c r="AA177" s="288"/>
      <c r="AB177" s="288"/>
      <c r="AC177" s="288"/>
    </row>
    <row r="178" spans="1:29" s="289" customFormat="1" ht="14.25" hidden="1" x14ac:dyDescent="0.3">
      <c r="A178" s="287"/>
      <c r="B178" s="2140"/>
      <c r="C178" s="607"/>
      <c r="D178" s="581">
        <f t="shared" si="87"/>
        <v>0</v>
      </c>
      <c r="E178" s="604">
        <f>'3 Doprava a přeprava'!D61</f>
        <v>0</v>
      </c>
      <c r="F178" s="599">
        <f>'3 Doprava a přeprava'!E61</f>
        <v>0</v>
      </c>
      <c r="G178" s="599">
        <f>'3 Doprava a přeprava'!F61</f>
        <v>0</v>
      </c>
      <c r="H178" s="599">
        <f>'3 Doprava a přeprava'!G61</f>
        <v>0</v>
      </c>
      <c r="I178" s="599">
        <f>'3 Doprava a přeprava'!H61</f>
        <v>0</v>
      </c>
      <c r="J178" s="599">
        <f>'3 Doprava a přeprava'!I61</f>
        <v>0</v>
      </c>
      <c r="K178" s="599">
        <f>'3 Doprava a přeprava'!J61</f>
        <v>0</v>
      </c>
      <c r="L178" s="599">
        <f>'3 Doprava a přeprava'!K61</f>
        <v>0</v>
      </c>
      <c r="M178" s="599">
        <f>'3 Doprava a přeprava'!L61</f>
        <v>0</v>
      </c>
      <c r="N178" s="599">
        <f>'3 Doprava a přeprava'!M61</f>
        <v>0</v>
      </c>
      <c r="O178" s="599">
        <f>'3 Doprava a přeprava'!N61</f>
        <v>0</v>
      </c>
      <c r="P178" s="599">
        <f>'3 Doprava a přeprava'!O61</f>
        <v>0</v>
      </c>
      <c r="Q178" s="599">
        <f>'3 Doprava a přeprava'!P61</f>
        <v>0</v>
      </c>
      <c r="R178" s="599">
        <f>'3 Doprava a přeprava'!Q61</f>
        <v>0</v>
      </c>
      <c r="S178" s="600">
        <f>'3 Doprava a přeprava'!R61</f>
        <v>0</v>
      </c>
      <c r="T178" s="288"/>
      <c r="U178" s="288"/>
      <c r="V178" s="288"/>
      <c r="W178" s="288"/>
      <c r="X178" s="288"/>
      <c r="Y178" s="288"/>
      <c r="Z178" s="288"/>
      <c r="AA178" s="288"/>
      <c r="AB178" s="288"/>
      <c r="AC178" s="288"/>
    </row>
    <row r="179" spans="1:29" ht="14.25" hidden="1" customHeight="1" x14ac:dyDescent="0.3">
      <c r="A179" s="245"/>
      <c r="B179" s="2139" t="s">
        <v>1449</v>
      </c>
      <c r="C179" s="603"/>
      <c r="D179" s="587">
        <f t="shared" si="87"/>
        <v>0</v>
      </c>
      <c r="E179" s="606">
        <f>'3 Doprava a přeprava'!D62</f>
        <v>0</v>
      </c>
      <c r="F179" s="597">
        <f>'3 Doprava a přeprava'!E62</f>
        <v>0</v>
      </c>
      <c r="G179" s="597">
        <f>'3 Doprava a přeprava'!F62</f>
        <v>0</v>
      </c>
      <c r="H179" s="597">
        <f>'3 Doprava a přeprava'!G62</f>
        <v>0</v>
      </c>
      <c r="I179" s="597">
        <f>'3 Doprava a přeprava'!H62</f>
        <v>0</v>
      </c>
      <c r="J179" s="597">
        <f>'3 Doprava a přeprava'!I62</f>
        <v>0</v>
      </c>
      <c r="K179" s="597">
        <f>'3 Doprava a přeprava'!J62</f>
        <v>0</v>
      </c>
      <c r="L179" s="597">
        <f>'3 Doprava a přeprava'!K62</f>
        <v>0</v>
      </c>
      <c r="M179" s="597">
        <f>'3 Doprava a přeprava'!L62</f>
        <v>0</v>
      </c>
      <c r="N179" s="597">
        <f>'3 Doprava a přeprava'!M62</f>
        <v>0</v>
      </c>
      <c r="O179" s="597">
        <f>'3 Doprava a přeprava'!N62</f>
        <v>0</v>
      </c>
      <c r="P179" s="597">
        <f>'3 Doprava a přeprava'!O62</f>
        <v>0</v>
      </c>
      <c r="Q179" s="597">
        <f>'3 Doprava a přeprava'!P62</f>
        <v>0</v>
      </c>
      <c r="R179" s="597">
        <f>'3 Doprava a přeprava'!Q62</f>
        <v>0</v>
      </c>
      <c r="S179" s="598">
        <f>'3 Doprava a přeprava'!R62</f>
        <v>0</v>
      </c>
      <c r="T179" s="236"/>
      <c r="U179" s="236"/>
      <c r="V179" s="236"/>
      <c r="W179" s="236"/>
      <c r="X179" s="236"/>
      <c r="Y179" s="236"/>
      <c r="Z179" s="236"/>
      <c r="AA179" s="236"/>
      <c r="AB179" s="236"/>
      <c r="AC179" s="236"/>
    </row>
    <row r="180" spans="1:29" ht="14.25" hidden="1" x14ac:dyDescent="0.3">
      <c r="A180" s="245"/>
      <c r="B180" s="2140"/>
      <c r="C180" s="603"/>
      <c r="D180" s="587">
        <f t="shared" si="87"/>
        <v>0</v>
      </c>
      <c r="E180" s="604">
        <f>'3 Doprava a přeprava'!D62</f>
        <v>0</v>
      </c>
      <c r="F180" s="599">
        <f>'3 Doprava a přeprava'!E62</f>
        <v>0</v>
      </c>
      <c r="G180" s="599">
        <f>'3 Doprava a přeprava'!F62</f>
        <v>0</v>
      </c>
      <c r="H180" s="599">
        <f>'3 Doprava a přeprava'!G62</f>
        <v>0</v>
      </c>
      <c r="I180" s="599">
        <f>'3 Doprava a přeprava'!H62</f>
        <v>0</v>
      </c>
      <c r="J180" s="599">
        <f>'3 Doprava a přeprava'!I62</f>
        <v>0</v>
      </c>
      <c r="K180" s="599">
        <f>'3 Doprava a přeprava'!J62</f>
        <v>0</v>
      </c>
      <c r="L180" s="599">
        <f>'3 Doprava a přeprava'!K62</f>
        <v>0</v>
      </c>
      <c r="M180" s="599">
        <f>'3 Doprava a přeprava'!L62</f>
        <v>0</v>
      </c>
      <c r="N180" s="599">
        <f>'3 Doprava a přeprava'!M62</f>
        <v>0</v>
      </c>
      <c r="O180" s="599">
        <f>'3 Doprava a přeprava'!N62</f>
        <v>0</v>
      </c>
      <c r="P180" s="599">
        <f>'3 Doprava a přeprava'!O62</f>
        <v>0</v>
      </c>
      <c r="Q180" s="599">
        <f>'3 Doprava a přeprava'!P62</f>
        <v>0</v>
      </c>
      <c r="R180" s="599">
        <f>'3 Doprava a přeprava'!Q62</f>
        <v>0</v>
      </c>
      <c r="S180" s="600">
        <f>'3 Doprava a přeprava'!R62</f>
        <v>0</v>
      </c>
      <c r="T180" s="236"/>
      <c r="U180" s="236"/>
      <c r="V180" s="236"/>
      <c r="W180" s="236"/>
      <c r="X180" s="236"/>
      <c r="Y180" s="236"/>
      <c r="Z180" s="236"/>
      <c r="AA180" s="236"/>
      <c r="AB180" s="236"/>
      <c r="AC180" s="236"/>
    </row>
    <row r="181" spans="1:29" s="289" customFormat="1" ht="14.25" hidden="1" x14ac:dyDescent="0.3">
      <c r="A181" s="287"/>
      <c r="B181" s="2141" t="s">
        <v>1450</v>
      </c>
      <c r="C181" s="605"/>
      <c r="D181" s="588">
        <f t="shared" si="87"/>
        <v>0</v>
      </c>
      <c r="E181" s="606">
        <f>'3 Doprava a přeprava'!D63</f>
        <v>0</v>
      </c>
      <c r="F181" s="597">
        <f>'3 Doprava a přeprava'!E63</f>
        <v>0</v>
      </c>
      <c r="G181" s="597">
        <f>'3 Doprava a přeprava'!F63</f>
        <v>0</v>
      </c>
      <c r="H181" s="597">
        <f>'3 Doprava a přeprava'!G63</f>
        <v>0</v>
      </c>
      <c r="I181" s="597">
        <f>'3 Doprava a přeprava'!H63</f>
        <v>0</v>
      </c>
      <c r="J181" s="597">
        <f>'3 Doprava a přeprava'!I63</f>
        <v>0</v>
      </c>
      <c r="K181" s="597">
        <f>'3 Doprava a přeprava'!J63</f>
        <v>0</v>
      </c>
      <c r="L181" s="597">
        <f>'3 Doprava a přeprava'!K63</f>
        <v>0</v>
      </c>
      <c r="M181" s="597">
        <f>'3 Doprava a přeprava'!L63</f>
        <v>0</v>
      </c>
      <c r="N181" s="597">
        <f>'3 Doprava a přeprava'!M63</f>
        <v>0</v>
      </c>
      <c r="O181" s="597">
        <f>'3 Doprava a přeprava'!N63</f>
        <v>0</v>
      </c>
      <c r="P181" s="597">
        <f>'3 Doprava a přeprava'!O63</f>
        <v>0</v>
      </c>
      <c r="Q181" s="597">
        <f>'3 Doprava a přeprava'!P63</f>
        <v>0</v>
      </c>
      <c r="R181" s="597">
        <f>'3 Doprava a přeprava'!Q63</f>
        <v>0</v>
      </c>
      <c r="S181" s="598">
        <f>'3 Doprava a přeprava'!R63</f>
        <v>0</v>
      </c>
      <c r="T181" s="288"/>
      <c r="U181" s="288"/>
      <c r="V181" s="288"/>
      <c r="W181" s="288"/>
      <c r="X181" s="288"/>
      <c r="Y181" s="288"/>
      <c r="Z181" s="288"/>
      <c r="AA181" s="288"/>
      <c r="AB181" s="288"/>
      <c r="AC181" s="288"/>
    </row>
    <row r="182" spans="1:29" s="289" customFormat="1" ht="14.25" hidden="1" x14ac:dyDescent="0.3">
      <c r="A182" s="287"/>
      <c r="B182" s="2140"/>
      <c r="C182" s="607"/>
      <c r="D182" s="589">
        <f t="shared" si="87"/>
        <v>0</v>
      </c>
      <c r="E182" s="604">
        <f>'3 Doprava a přeprava'!D63</f>
        <v>0</v>
      </c>
      <c r="F182" s="599">
        <f>'3 Doprava a přeprava'!E63</f>
        <v>0</v>
      </c>
      <c r="G182" s="599">
        <f>'3 Doprava a přeprava'!F63</f>
        <v>0</v>
      </c>
      <c r="H182" s="599">
        <f>'3 Doprava a přeprava'!G63</f>
        <v>0</v>
      </c>
      <c r="I182" s="599">
        <f>'3 Doprava a přeprava'!H63</f>
        <v>0</v>
      </c>
      <c r="J182" s="599">
        <f>'3 Doprava a přeprava'!I63</f>
        <v>0</v>
      </c>
      <c r="K182" s="599">
        <f>'3 Doprava a přeprava'!J63</f>
        <v>0</v>
      </c>
      <c r="L182" s="599">
        <f>'3 Doprava a přeprava'!K63</f>
        <v>0</v>
      </c>
      <c r="M182" s="599">
        <f>'3 Doprava a přeprava'!L63</f>
        <v>0</v>
      </c>
      <c r="N182" s="599">
        <f>'3 Doprava a přeprava'!M63</f>
        <v>0</v>
      </c>
      <c r="O182" s="599">
        <f>'3 Doprava a přeprava'!N63</f>
        <v>0</v>
      </c>
      <c r="P182" s="599">
        <f>'3 Doprava a přeprava'!O63</f>
        <v>0</v>
      </c>
      <c r="Q182" s="599">
        <f>'3 Doprava a přeprava'!P63</f>
        <v>0</v>
      </c>
      <c r="R182" s="599">
        <f>'3 Doprava a přeprava'!Q63</f>
        <v>0</v>
      </c>
      <c r="S182" s="600">
        <f>'3 Doprava a přeprava'!R63</f>
        <v>0</v>
      </c>
      <c r="T182" s="288"/>
      <c r="U182" s="288"/>
      <c r="V182" s="288"/>
      <c r="W182" s="288"/>
      <c r="X182" s="288"/>
      <c r="Y182" s="288"/>
      <c r="Z182" s="288"/>
      <c r="AA182" s="288"/>
      <c r="AB182" s="288"/>
      <c r="AC182" s="288"/>
    </row>
    <row r="183" spans="1:29" s="289" customFormat="1" ht="14.25" hidden="1" x14ac:dyDescent="0.3">
      <c r="A183" s="287"/>
      <c r="B183" s="2139" t="s">
        <v>439</v>
      </c>
      <c r="C183" s="605"/>
      <c r="D183" s="580">
        <f t="shared" si="87"/>
        <v>0</v>
      </c>
      <c r="E183" s="595">
        <f>'3 Doprava a přeprava'!D64</f>
        <v>0</v>
      </c>
      <c r="F183" s="595">
        <f>'3 Doprava a přeprava'!E64</f>
        <v>0</v>
      </c>
      <c r="G183" s="595">
        <f>'3 Doprava a přeprava'!F64</f>
        <v>0</v>
      </c>
      <c r="H183" s="595">
        <f>'3 Doprava a přeprava'!G64</f>
        <v>0</v>
      </c>
      <c r="I183" s="595">
        <f>'3 Doprava a přeprava'!H64</f>
        <v>0</v>
      </c>
      <c r="J183" s="595">
        <f>'3 Doprava a přeprava'!I64</f>
        <v>0</v>
      </c>
      <c r="K183" s="595">
        <f>'3 Doprava a přeprava'!J64</f>
        <v>0</v>
      </c>
      <c r="L183" s="595">
        <f>'3 Doprava a přeprava'!K64</f>
        <v>0</v>
      </c>
      <c r="M183" s="595">
        <f>'3 Doprava a přeprava'!L64</f>
        <v>0</v>
      </c>
      <c r="N183" s="595">
        <f>'3 Doprava a přeprava'!M64</f>
        <v>0</v>
      </c>
      <c r="O183" s="595">
        <f>'3 Doprava a přeprava'!N64</f>
        <v>0</v>
      </c>
      <c r="P183" s="595">
        <f>'3 Doprava a přeprava'!O64</f>
        <v>0</v>
      </c>
      <c r="Q183" s="595">
        <f>'3 Doprava a přeprava'!P64</f>
        <v>0</v>
      </c>
      <c r="R183" s="595">
        <f>'3 Doprava a přeprava'!Q64</f>
        <v>0</v>
      </c>
      <c r="S183" s="596">
        <f>'3 Doprava a přeprava'!R64</f>
        <v>0</v>
      </c>
      <c r="T183" s="288"/>
      <c r="U183" s="288"/>
      <c r="V183" s="288"/>
      <c r="W183" s="288"/>
      <c r="X183" s="288"/>
      <c r="Y183" s="288"/>
      <c r="Z183" s="288"/>
      <c r="AA183" s="288"/>
      <c r="AB183" s="288"/>
      <c r="AC183" s="288"/>
    </row>
    <row r="184" spans="1:29" s="289" customFormat="1" ht="14.25" hidden="1" x14ac:dyDescent="0.3">
      <c r="A184" s="287"/>
      <c r="B184" s="2140"/>
      <c r="C184" s="607"/>
      <c r="D184" s="581">
        <f t="shared" si="87"/>
        <v>0</v>
      </c>
      <c r="E184" s="595">
        <f>'3 Doprava a přeprava'!D64</f>
        <v>0</v>
      </c>
      <c r="F184" s="595">
        <f>'3 Doprava a přeprava'!E64</f>
        <v>0</v>
      </c>
      <c r="G184" s="595">
        <f>'3 Doprava a přeprava'!F64</f>
        <v>0</v>
      </c>
      <c r="H184" s="595">
        <f>'3 Doprava a přeprava'!G64</f>
        <v>0</v>
      </c>
      <c r="I184" s="595">
        <f>'3 Doprava a přeprava'!H64</f>
        <v>0</v>
      </c>
      <c r="J184" s="595">
        <f>'3 Doprava a přeprava'!I64</f>
        <v>0</v>
      </c>
      <c r="K184" s="595">
        <f>'3 Doprava a přeprava'!J64</f>
        <v>0</v>
      </c>
      <c r="L184" s="595">
        <f>'3 Doprava a přeprava'!K64</f>
        <v>0</v>
      </c>
      <c r="M184" s="595">
        <f>'3 Doprava a přeprava'!L64</f>
        <v>0</v>
      </c>
      <c r="N184" s="595">
        <f>'3 Doprava a přeprava'!M64</f>
        <v>0</v>
      </c>
      <c r="O184" s="595">
        <f>'3 Doprava a přeprava'!N64</f>
        <v>0</v>
      </c>
      <c r="P184" s="595">
        <f>'3 Doprava a přeprava'!O64</f>
        <v>0</v>
      </c>
      <c r="Q184" s="595">
        <f>'3 Doprava a přeprava'!P64</f>
        <v>0</v>
      </c>
      <c r="R184" s="595">
        <f>'3 Doprava a přeprava'!Q64</f>
        <v>0</v>
      </c>
      <c r="S184" s="596">
        <f>'3 Doprava a přeprava'!R64</f>
        <v>0</v>
      </c>
      <c r="T184" s="288"/>
      <c r="U184" s="288"/>
      <c r="V184" s="288"/>
      <c r="W184" s="288"/>
      <c r="X184" s="288"/>
      <c r="Y184" s="288"/>
      <c r="Z184" s="288"/>
      <c r="AA184" s="288"/>
      <c r="AB184" s="288"/>
      <c r="AC184" s="288"/>
    </row>
    <row r="185" spans="1:29" ht="15" hidden="1" thickBot="1" x14ac:dyDescent="0.35">
      <c r="A185" s="245"/>
      <c r="B185" s="239"/>
      <c r="C185" s="240"/>
      <c r="D185" s="545"/>
      <c r="E185" s="615"/>
      <c r="F185" s="616"/>
      <c r="G185" s="616"/>
      <c r="H185" s="616"/>
      <c r="I185" s="616"/>
      <c r="J185" s="616"/>
      <c r="K185" s="616"/>
      <c r="L185" s="616"/>
      <c r="M185" s="616"/>
      <c r="N185" s="616"/>
      <c r="O185" s="616"/>
      <c r="P185" s="616"/>
      <c r="Q185" s="616"/>
      <c r="R185" s="616"/>
      <c r="S185" s="617"/>
      <c r="T185" s="237"/>
      <c r="U185" s="237"/>
      <c r="V185" s="237"/>
      <c r="W185" s="237"/>
      <c r="X185" s="237"/>
      <c r="Y185" s="237"/>
      <c r="Z185" s="237"/>
      <c r="AA185" s="237"/>
      <c r="AB185" s="237"/>
      <c r="AC185" s="237"/>
    </row>
    <row r="186" spans="1:29" ht="14.25" hidden="1" thickBot="1" x14ac:dyDescent="0.35">
      <c r="A186" s="245"/>
      <c r="B186" s="249"/>
      <c r="C186" s="245"/>
      <c r="D186" s="236"/>
      <c r="E186" s="236"/>
      <c r="F186" s="236"/>
      <c r="G186" s="236"/>
      <c r="H186" s="236"/>
      <c r="I186" s="236"/>
      <c r="J186" s="236"/>
      <c r="K186" s="236"/>
      <c r="L186" s="236"/>
      <c r="M186" s="236"/>
      <c r="N186" s="236"/>
      <c r="O186" s="236"/>
      <c r="P186" s="236"/>
      <c r="Q186" s="236"/>
      <c r="R186" s="236"/>
      <c r="S186" s="236"/>
      <c r="T186" s="236"/>
      <c r="U186" s="236"/>
      <c r="V186" s="236"/>
      <c r="W186" s="236"/>
      <c r="X186" s="236"/>
      <c r="Y186" s="236"/>
      <c r="Z186" s="236"/>
      <c r="AA186" s="236"/>
      <c r="AB186" s="236"/>
      <c r="AC186" s="236"/>
    </row>
    <row r="187" spans="1:29" ht="14.25" hidden="1" x14ac:dyDescent="0.3">
      <c r="A187" s="245"/>
      <c r="B187" s="238">
        <f>B173</f>
        <v>0</v>
      </c>
      <c r="C187" s="272" t="str">
        <f>C173</f>
        <v>tis. osobokm</v>
      </c>
      <c r="D187" s="275"/>
      <c r="E187" s="2129">
        <f>S173+1</f>
        <v>2041</v>
      </c>
      <c r="F187" s="2127">
        <f t="shared" ref="F187" si="88">E187+1</f>
        <v>2042</v>
      </c>
      <c r="G187" s="2127">
        <f t="shared" ref="G187" si="89">F187+1</f>
        <v>2043</v>
      </c>
      <c r="H187" s="2127">
        <f t="shared" ref="H187" si="90">G187+1</f>
        <v>2044</v>
      </c>
      <c r="I187" s="2127">
        <f t="shared" ref="I187" si="91">H187+1</f>
        <v>2045</v>
      </c>
      <c r="J187" s="2127">
        <f t="shared" ref="J187" si="92">I187+1</f>
        <v>2046</v>
      </c>
      <c r="K187" s="2127">
        <f t="shared" ref="K187" si="93">J187+1</f>
        <v>2047</v>
      </c>
      <c r="L187" s="2127">
        <f t="shared" ref="L187" si="94">K187+1</f>
        <v>2048</v>
      </c>
      <c r="M187" s="2127">
        <f t="shared" ref="M187" si="95">L187+1</f>
        <v>2049</v>
      </c>
      <c r="N187" s="2127">
        <f t="shared" ref="N187" si="96">M187+1</f>
        <v>2050</v>
      </c>
      <c r="O187" s="2127">
        <f t="shared" ref="O187" si="97">N187+1</f>
        <v>2051</v>
      </c>
      <c r="P187" s="2127">
        <f t="shared" ref="P187" si="98">O187+1</f>
        <v>2052</v>
      </c>
      <c r="Q187" s="2127">
        <f t="shared" ref="Q187" si="99">P187+1</f>
        <v>2053</v>
      </c>
      <c r="R187" s="2127">
        <f t="shared" ref="R187" si="100">Q187+1</f>
        <v>2054</v>
      </c>
      <c r="S187" s="2125">
        <f t="shared" ref="S187" si="101">R187+1</f>
        <v>2055</v>
      </c>
      <c r="T187" s="247"/>
      <c r="U187" s="247"/>
      <c r="V187" s="247"/>
      <c r="W187" s="247"/>
      <c r="X187" s="247"/>
      <c r="Y187" s="247"/>
      <c r="Z187" s="247"/>
      <c r="AA187" s="247"/>
      <c r="AB187" s="247"/>
      <c r="AC187" s="247"/>
    </row>
    <row r="188" spans="1:29" ht="15" hidden="1" thickBot="1" x14ac:dyDescent="0.35">
      <c r="A188" s="245"/>
      <c r="B188" s="256" t="s">
        <v>5</v>
      </c>
      <c r="C188" s="544" t="str">
        <f t="shared" ref="C188:C199" si="102">C174</f>
        <v>s projektem</v>
      </c>
      <c r="D188" s="298"/>
      <c r="E188" s="2134"/>
      <c r="F188" s="2135"/>
      <c r="G188" s="2135"/>
      <c r="H188" s="2135"/>
      <c r="I188" s="2135"/>
      <c r="J188" s="2135"/>
      <c r="K188" s="2135"/>
      <c r="L188" s="2135"/>
      <c r="M188" s="2135"/>
      <c r="N188" s="2135"/>
      <c r="O188" s="2135"/>
      <c r="P188" s="2135"/>
      <c r="Q188" s="2135"/>
      <c r="R188" s="2135"/>
      <c r="S188" s="2136"/>
      <c r="T188" s="247"/>
      <c r="U188" s="247"/>
      <c r="V188" s="247"/>
      <c r="W188" s="247"/>
      <c r="X188" s="247"/>
      <c r="Y188" s="247"/>
      <c r="Z188" s="247"/>
      <c r="AA188" s="247"/>
      <c r="AB188" s="247"/>
      <c r="AC188" s="247"/>
    </row>
    <row r="189" spans="1:29" ht="12" hidden="1" customHeight="1" x14ac:dyDescent="0.3">
      <c r="A189" s="245"/>
      <c r="B189" s="2137" t="str">
        <f>B175</f>
        <v>BUS</v>
      </c>
      <c r="C189" s="601">
        <f t="shared" si="102"/>
        <v>0</v>
      </c>
      <c r="D189" s="586"/>
      <c r="E189" s="602">
        <f>'3 Doprava a přeprava'!D69</f>
        <v>0</v>
      </c>
      <c r="F189" s="592">
        <f>'3 Doprava a přeprava'!E69</f>
        <v>0</v>
      </c>
      <c r="G189" s="592">
        <f>'3 Doprava a přeprava'!F69</f>
        <v>0</v>
      </c>
      <c r="H189" s="592">
        <f>'3 Doprava a přeprava'!G69</f>
        <v>0</v>
      </c>
      <c r="I189" s="592">
        <f>'3 Doprava a přeprava'!H69</f>
        <v>0</v>
      </c>
      <c r="J189" s="592">
        <f>'3 Doprava a přeprava'!I69</f>
        <v>0</v>
      </c>
      <c r="K189" s="592">
        <f>'3 Doprava a přeprava'!J69</f>
        <v>0</v>
      </c>
      <c r="L189" s="592">
        <f>'3 Doprava a přeprava'!K69</f>
        <v>0</v>
      </c>
      <c r="M189" s="592">
        <f>'3 Doprava a přeprava'!L69</f>
        <v>0</v>
      </c>
      <c r="N189" s="592">
        <f>'3 Doprava a přeprava'!M69</f>
        <v>0</v>
      </c>
      <c r="O189" s="592">
        <f>'3 Doprava a přeprava'!N69</f>
        <v>0</v>
      </c>
      <c r="P189" s="592">
        <f>'3 Doprava a přeprava'!O69</f>
        <v>0</v>
      </c>
      <c r="Q189" s="592">
        <f>'3 Doprava a přeprava'!P69</f>
        <v>0</v>
      </c>
      <c r="R189" s="592">
        <f>'3 Doprava a přeprava'!Q69</f>
        <v>0</v>
      </c>
      <c r="S189" s="593">
        <f>'3 Doprava a přeprava'!R69</f>
        <v>0</v>
      </c>
      <c r="T189" s="477"/>
      <c r="U189" s="236"/>
      <c r="V189" s="236"/>
      <c r="W189" s="236"/>
      <c r="X189" s="236"/>
      <c r="Y189" s="236"/>
      <c r="Z189" s="236"/>
      <c r="AA189" s="236"/>
      <c r="AB189" s="236"/>
      <c r="AC189" s="236"/>
    </row>
    <row r="190" spans="1:29" ht="14.25" hidden="1" x14ac:dyDescent="0.3">
      <c r="A190" s="245"/>
      <c r="B190" s="2138"/>
      <c r="C190" s="603">
        <f t="shared" si="102"/>
        <v>0</v>
      </c>
      <c r="D190" s="587"/>
      <c r="E190" s="604">
        <f>'3 Doprava a přeprava'!D69</f>
        <v>0</v>
      </c>
      <c r="F190" s="599">
        <f>'3 Doprava a přeprava'!E69</f>
        <v>0</v>
      </c>
      <c r="G190" s="599">
        <f>'3 Doprava a přeprava'!F69</f>
        <v>0</v>
      </c>
      <c r="H190" s="599">
        <f>'3 Doprava a přeprava'!G69</f>
        <v>0</v>
      </c>
      <c r="I190" s="599">
        <f>'3 Doprava a přeprava'!H69</f>
        <v>0</v>
      </c>
      <c r="J190" s="599">
        <f>'3 Doprava a přeprava'!I69</f>
        <v>0</v>
      </c>
      <c r="K190" s="599">
        <f>'3 Doprava a přeprava'!J69</f>
        <v>0</v>
      </c>
      <c r="L190" s="599">
        <f>'3 Doprava a přeprava'!K69</f>
        <v>0</v>
      </c>
      <c r="M190" s="599">
        <f>'3 Doprava a přeprava'!L69</f>
        <v>0</v>
      </c>
      <c r="N190" s="599">
        <f>'3 Doprava a přeprava'!M69</f>
        <v>0</v>
      </c>
      <c r="O190" s="599">
        <f>'3 Doprava a přeprava'!N69</f>
        <v>0</v>
      </c>
      <c r="P190" s="599">
        <f>'3 Doprava a přeprava'!O69</f>
        <v>0</v>
      </c>
      <c r="Q190" s="599">
        <f>'3 Doprava a přeprava'!P69</f>
        <v>0</v>
      </c>
      <c r="R190" s="599">
        <f>'3 Doprava a přeprava'!Q69</f>
        <v>0</v>
      </c>
      <c r="S190" s="600">
        <f>'3 Doprava a přeprava'!R69</f>
        <v>0</v>
      </c>
      <c r="T190" s="477"/>
      <c r="U190" s="236"/>
      <c r="V190" s="236"/>
      <c r="W190" s="236"/>
      <c r="X190" s="236"/>
      <c r="Y190" s="236"/>
      <c r="Z190" s="236"/>
      <c r="AA190" s="236"/>
      <c r="AB190" s="236"/>
      <c r="AC190" s="236"/>
    </row>
    <row r="191" spans="1:29" s="289" customFormat="1" ht="12" hidden="1" customHeight="1" x14ac:dyDescent="0.3">
      <c r="A191" s="287"/>
      <c r="B191" s="2139" t="str">
        <f>B177</f>
        <v>Trolejbus</v>
      </c>
      <c r="C191" s="605">
        <f t="shared" si="102"/>
        <v>0</v>
      </c>
      <c r="D191" s="580"/>
      <c r="E191" s="606">
        <f>'3 Doprava a přeprava'!D70</f>
        <v>0</v>
      </c>
      <c r="F191" s="597">
        <f>'3 Doprava a přeprava'!E70</f>
        <v>0</v>
      </c>
      <c r="G191" s="597">
        <f>'3 Doprava a přeprava'!F70</f>
        <v>0</v>
      </c>
      <c r="H191" s="597">
        <f>'3 Doprava a přeprava'!G70</f>
        <v>0</v>
      </c>
      <c r="I191" s="597">
        <f>'3 Doprava a přeprava'!H70</f>
        <v>0</v>
      </c>
      <c r="J191" s="597">
        <f>'3 Doprava a přeprava'!I70</f>
        <v>0</v>
      </c>
      <c r="K191" s="597">
        <f>'3 Doprava a přeprava'!J70</f>
        <v>0</v>
      </c>
      <c r="L191" s="597">
        <f>'3 Doprava a přeprava'!K70</f>
        <v>0</v>
      </c>
      <c r="M191" s="597">
        <f>'3 Doprava a přeprava'!L70</f>
        <v>0</v>
      </c>
      <c r="N191" s="597">
        <f>'3 Doprava a přeprava'!M70</f>
        <v>0</v>
      </c>
      <c r="O191" s="597">
        <f>'3 Doprava a přeprava'!N70</f>
        <v>0</v>
      </c>
      <c r="P191" s="597">
        <f>'3 Doprava a přeprava'!O70</f>
        <v>0</v>
      </c>
      <c r="Q191" s="597">
        <f>'3 Doprava a přeprava'!P70</f>
        <v>0</v>
      </c>
      <c r="R191" s="597">
        <f>'3 Doprava a přeprava'!Q70</f>
        <v>0</v>
      </c>
      <c r="S191" s="598">
        <f>'3 Doprava a přeprava'!R70</f>
        <v>0</v>
      </c>
      <c r="T191" s="479"/>
      <c r="U191" s="288"/>
      <c r="V191" s="288"/>
      <c r="W191" s="288"/>
      <c r="X191" s="288"/>
      <c r="Y191" s="288"/>
      <c r="Z191" s="288"/>
      <c r="AA191" s="288"/>
      <c r="AB191" s="288"/>
      <c r="AC191" s="288"/>
    </row>
    <row r="192" spans="1:29" s="289" customFormat="1" ht="12" hidden="1" customHeight="1" x14ac:dyDescent="0.3">
      <c r="A192" s="287"/>
      <c r="B192" s="2140"/>
      <c r="C192" s="607">
        <f t="shared" si="102"/>
        <v>0</v>
      </c>
      <c r="D192" s="581"/>
      <c r="E192" s="604">
        <f>'3 Doprava a přeprava'!D70</f>
        <v>0</v>
      </c>
      <c r="F192" s="599">
        <f>'3 Doprava a přeprava'!E70</f>
        <v>0</v>
      </c>
      <c r="G192" s="599">
        <f>'3 Doprava a přeprava'!F70</f>
        <v>0</v>
      </c>
      <c r="H192" s="599">
        <f>'3 Doprava a přeprava'!G70</f>
        <v>0</v>
      </c>
      <c r="I192" s="599">
        <f>'3 Doprava a přeprava'!H70</f>
        <v>0</v>
      </c>
      <c r="J192" s="599">
        <f>'3 Doprava a přeprava'!I70</f>
        <v>0</v>
      </c>
      <c r="K192" s="599">
        <f>'3 Doprava a přeprava'!J70</f>
        <v>0</v>
      </c>
      <c r="L192" s="599">
        <f>'3 Doprava a přeprava'!K70</f>
        <v>0</v>
      </c>
      <c r="M192" s="599">
        <f>'3 Doprava a přeprava'!L70</f>
        <v>0</v>
      </c>
      <c r="N192" s="599">
        <f>'3 Doprava a přeprava'!M70</f>
        <v>0</v>
      </c>
      <c r="O192" s="599">
        <f>'3 Doprava a přeprava'!N70</f>
        <v>0</v>
      </c>
      <c r="P192" s="599">
        <f>'3 Doprava a přeprava'!O70</f>
        <v>0</v>
      </c>
      <c r="Q192" s="599">
        <f>'3 Doprava a přeprava'!P70</f>
        <v>0</v>
      </c>
      <c r="R192" s="599">
        <f>'3 Doprava a přeprava'!Q70</f>
        <v>0</v>
      </c>
      <c r="S192" s="600">
        <f>'3 Doprava a přeprava'!R70</f>
        <v>0</v>
      </c>
      <c r="T192" s="479"/>
      <c r="U192" s="288"/>
      <c r="V192" s="288"/>
      <c r="W192" s="288"/>
      <c r="X192" s="288"/>
      <c r="Y192" s="288"/>
      <c r="Z192" s="288"/>
      <c r="AA192" s="288"/>
      <c r="AB192" s="288"/>
      <c r="AC192" s="288"/>
    </row>
    <row r="193" spans="1:29" ht="12" hidden="1" customHeight="1" x14ac:dyDescent="0.3">
      <c r="A193" s="245"/>
      <c r="B193" s="2139" t="str">
        <f>B179</f>
        <v>Tramvaj</v>
      </c>
      <c r="C193" s="603">
        <f t="shared" si="102"/>
        <v>0</v>
      </c>
      <c r="D193" s="587"/>
      <c r="E193" s="606">
        <f>'3 Doprava a přeprava'!D71</f>
        <v>0</v>
      </c>
      <c r="F193" s="597">
        <f>'3 Doprava a přeprava'!E71</f>
        <v>0</v>
      </c>
      <c r="G193" s="597">
        <f>'3 Doprava a přeprava'!F71</f>
        <v>0</v>
      </c>
      <c r="H193" s="597">
        <f>'3 Doprava a přeprava'!G71</f>
        <v>0</v>
      </c>
      <c r="I193" s="597">
        <f>'3 Doprava a přeprava'!H71</f>
        <v>0</v>
      </c>
      <c r="J193" s="597">
        <f>'3 Doprava a přeprava'!I71</f>
        <v>0</v>
      </c>
      <c r="K193" s="597">
        <f>'3 Doprava a přeprava'!J71</f>
        <v>0</v>
      </c>
      <c r="L193" s="597">
        <f>'3 Doprava a přeprava'!K71</f>
        <v>0</v>
      </c>
      <c r="M193" s="597">
        <f>'3 Doprava a přeprava'!L71</f>
        <v>0</v>
      </c>
      <c r="N193" s="597">
        <f>'3 Doprava a přeprava'!M71</f>
        <v>0</v>
      </c>
      <c r="O193" s="597">
        <f>'3 Doprava a přeprava'!N71</f>
        <v>0</v>
      </c>
      <c r="P193" s="597">
        <f>'3 Doprava a přeprava'!O71</f>
        <v>0</v>
      </c>
      <c r="Q193" s="597">
        <f>'3 Doprava a přeprava'!P71</f>
        <v>0</v>
      </c>
      <c r="R193" s="597">
        <f>'3 Doprava a přeprava'!Q71</f>
        <v>0</v>
      </c>
      <c r="S193" s="598">
        <f>'3 Doprava a přeprava'!R71</f>
        <v>0</v>
      </c>
      <c r="T193" s="477"/>
      <c r="U193" s="236"/>
      <c r="V193" s="236"/>
      <c r="W193" s="236"/>
      <c r="X193" s="236"/>
      <c r="Y193" s="236"/>
      <c r="Z193" s="236"/>
      <c r="AA193" s="236"/>
      <c r="AB193" s="236"/>
      <c r="AC193" s="236"/>
    </row>
    <row r="194" spans="1:29" ht="12" hidden="1" customHeight="1" x14ac:dyDescent="0.3">
      <c r="A194" s="245"/>
      <c r="B194" s="2140"/>
      <c r="C194" s="603">
        <f t="shared" si="102"/>
        <v>0</v>
      </c>
      <c r="D194" s="587"/>
      <c r="E194" s="604">
        <f>'3 Doprava a přeprava'!D71</f>
        <v>0</v>
      </c>
      <c r="F194" s="599">
        <f>'3 Doprava a přeprava'!E71</f>
        <v>0</v>
      </c>
      <c r="G194" s="599">
        <f>'3 Doprava a přeprava'!F71</f>
        <v>0</v>
      </c>
      <c r="H194" s="599">
        <f>'3 Doprava a přeprava'!G71</f>
        <v>0</v>
      </c>
      <c r="I194" s="599">
        <f>'3 Doprava a přeprava'!H71</f>
        <v>0</v>
      </c>
      <c r="J194" s="599">
        <f>'3 Doprava a přeprava'!I71</f>
        <v>0</v>
      </c>
      <c r="K194" s="599">
        <f>'3 Doprava a přeprava'!J71</f>
        <v>0</v>
      </c>
      <c r="L194" s="599">
        <f>'3 Doprava a přeprava'!K71</f>
        <v>0</v>
      </c>
      <c r="M194" s="599">
        <f>'3 Doprava a přeprava'!L71</f>
        <v>0</v>
      </c>
      <c r="N194" s="599">
        <f>'3 Doprava a přeprava'!M71</f>
        <v>0</v>
      </c>
      <c r="O194" s="599">
        <f>'3 Doprava a přeprava'!N71</f>
        <v>0</v>
      </c>
      <c r="P194" s="599">
        <f>'3 Doprava a přeprava'!O71</f>
        <v>0</v>
      </c>
      <c r="Q194" s="599">
        <f>'3 Doprava a přeprava'!P71</f>
        <v>0</v>
      </c>
      <c r="R194" s="599">
        <f>'3 Doprava a přeprava'!Q71</f>
        <v>0</v>
      </c>
      <c r="S194" s="600">
        <f>'3 Doprava a přeprava'!R71</f>
        <v>0</v>
      </c>
      <c r="T194" s="477"/>
      <c r="U194" s="236"/>
      <c r="V194" s="236"/>
      <c r="W194" s="236"/>
      <c r="X194" s="236"/>
      <c r="Y194" s="236"/>
      <c r="Z194" s="236"/>
      <c r="AA194" s="236"/>
      <c r="AB194" s="236"/>
      <c r="AC194" s="236"/>
    </row>
    <row r="195" spans="1:29" s="289" customFormat="1" ht="12" hidden="1" customHeight="1" x14ac:dyDescent="0.3">
      <c r="A195" s="287"/>
      <c r="B195" s="2141" t="str">
        <f>B181</f>
        <v>Metro</v>
      </c>
      <c r="C195" s="605">
        <f t="shared" si="102"/>
        <v>0</v>
      </c>
      <c r="D195" s="588"/>
      <c r="E195" s="606">
        <f>'3 Doprava a přeprava'!D72</f>
        <v>0</v>
      </c>
      <c r="F195" s="597">
        <f>'3 Doprava a přeprava'!E72</f>
        <v>0</v>
      </c>
      <c r="G195" s="597">
        <f>'3 Doprava a přeprava'!F72</f>
        <v>0</v>
      </c>
      <c r="H195" s="597">
        <f>'3 Doprava a přeprava'!G72</f>
        <v>0</v>
      </c>
      <c r="I195" s="597">
        <f>'3 Doprava a přeprava'!H72</f>
        <v>0</v>
      </c>
      <c r="J195" s="597">
        <f>'3 Doprava a přeprava'!I72</f>
        <v>0</v>
      </c>
      <c r="K195" s="597">
        <f>'3 Doprava a přeprava'!J72</f>
        <v>0</v>
      </c>
      <c r="L195" s="597">
        <f>'3 Doprava a přeprava'!K72</f>
        <v>0</v>
      </c>
      <c r="M195" s="597">
        <f>'3 Doprava a přeprava'!L72</f>
        <v>0</v>
      </c>
      <c r="N195" s="597">
        <f>'3 Doprava a přeprava'!M72</f>
        <v>0</v>
      </c>
      <c r="O195" s="597">
        <f>'3 Doprava a přeprava'!N72</f>
        <v>0</v>
      </c>
      <c r="P195" s="597">
        <f>'3 Doprava a přeprava'!O72</f>
        <v>0</v>
      </c>
      <c r="Q195" s="597">
        <f>'3 Doprava a přeprava'!P72</f>
        <v>0</v>
      </c>
      <c r="R195" s="597">
        <f>'3 Doprava a přeprava'!Q72</f>
        <v>0</v>
      </c>
      <c r="S195" s="598">
        <f>'3 Doprava a přeprava'!R72</f>
        <v>0</v>
      </c>
      <c r="T195" s="479"/>
      <c r="U195" s="288"/>
      <c r="V195" s="288"/>
      <c r="W195" s="288"/>
      <c r="X195" s="288"/>
      <c r="Y195" s="288"/>
      <c r="Z195" s="288"/>
      <c r="AA195" s="288"/>
      <c r="AB195" s="288"/>
      <c r="AC195" s="288"/>
    </row>
    <row r="196" spans="1:29" s="289" customFormat="1" ht="12" hidden="1" customHeight="1" x14ac:dyDescent="0.3">
      <c r="A196" s="287"/>
      <c r="B196" s="2140"/>
      <c r="C196" s="607">
        <f t="shared" si="102"/>
        <v>0</v>
      </c>
      <c r="D196" s="589"/>
      <c r="E196" s="604">
        <f>'3 Doprava a přeprava'!D72</f>
        <v>0</v>
      </c>
      <c r="F196" s="599">
        <f>'3 Doprava a přeprava'!E72</f>
        <v>0</v>
      </c>
      <c r="G196" s="599">
        <f>'3 Doprava a přeprava'!F72</f>
        <v>0</v>
      </c>
      <c r="H196" s="599">
        <f>'3 Doprava a přeprava'!G72</f>
        <v>0</v>
      </c>
      <c r="I196" s="599">
        <f>'3 Doprava a přeprava'!H72</f>
        <v>0</v>
      </c>
      <c r="J196" s="599">
        <f>'3 Doprava a přeprava'!I72</f>
        <v>0</v>
      </c>
      <c r="K196" s="599">
        <f>'3 Doprava a přeprava'!J72</f>
        <v>0</v>
      </c>
      <c r="L196" s="599">
        <f>'3 Doprava a přeprava'!K72</f>
        <v>0</v>
      </c>
      <c r="M196" s="599">
        <f>'3 Doprava a přeprava'!L72</f>
        <v>0</v>
      </c>
      <c r="N196" s="599">
        <f>'3 Doprava a přeprava'!M72</f>
        <v>0</v>
      </c>
      <c r="O196" s="599">
        <f>'3 Doprava a přeprava'!N72</f>
        <v>0</v>
      </c>
      <c r="P196" s="599">
        <f>'3 Doprava a přeprava'!O72</f>
        <v>0</v>
      </c>
      <c r="Q196" s="599">
        <f>'3 Doprava a přeprava'!P72</f>
        <v>0</v>
      </c>
      <c r="R196" s="599">
        <f>'3 Doprava a přeprava'!Q72</f>
        <v>0</v>
      </c>
      <c r="S196" s="600">
        <f>'3 Doprava a přeprava'!R72</f>
        <v>0</v>
      </c>
      <c r="T196" s="479"/>
      <c r="U196" s="288"/>
      <c r="V196" s="288"/>
      <c r="W196" s="288"/>
      <c r="X196" s="288"/>
      <c r="Y196" s="288"/>
      <c r="Z196" s="288"/>
      <c r="AA196" s="288"/>
      <c r="AB196" s="288"/>
      <c r="AC196" s="288"/>
    </row>
    <row r="197" spans="1:29" s="289" customFormat="1" ht="12" hidden="1" customHeight="1" x14ac:dyDescent="0.3">
      <c r="A197" s="287"/>
      <c r="B197" s="2139" t="str">
        <f>B183</f>
        <v>IAD</v>
      </c>
      <c r="C197" s="605">
        <f t="shared" si="102"/>
        <v>0</v>
      </c>
      <c r="D197" s="580"/>
      <c r="E197" s="595">
        <f>'3 Doprava a přeprava'!D73</f>
        <v>0</v>
      </c>
      <c r="F197" s="595">
        <f>'3 Doprava a přeprava'!E73</f>
        <v>0</v>
      </c>
      <c r="G197" s="595">
        <f>'3 Doprava a přeprava'!F73</f>
        <v>0</v>
      </c>
      <c r="H197" s="595">
        <f>'3 Doprava a přeprava'!G73</f>
        <v>0</v>
      </c>
      <c r="I197" s="595">
        <f>'3 Doprava a přeprava'!H73</f>
        <v>0</v>
      </c>
      <c r="J197" s="595">
        <f>'3 Doprava a přeprava'!I73</f>
        <v>0</v>
      </c>
      <c r="K197" s="595">
        <f>'3 Doprava a přeprava'!J73</f>
        <v>0</v>
      </c>
      <c r="L197" s="595">
        <f>'3 Doprava a přeprava'!K73</f>
        <v>0</v>
      </c>
      <c r="M197" s="595">
        <f>'3 Doprava a přeprava'!L73</f>
        <v>0</v>
      </c>
      <c r="N197" s="595">
        <f>'3 Doprava a přeprava'!M73</f>
        <v>0</v>
      </c>
      <c r="O197" s="595">
        <f>'3 Doprava a přeprava'!N73</f>
        <v>0</v>
      </c>
      <c r="P197" s="595">
        <f>'3 Doprava a přeprava'!O73</f>
        <v>0</v>
      </c>
      <c r="Q197" s="595">
        <f>'3 Doprava a přeprava'!P73</f>
        <v>0</v>
      </c>
      <c r="R197" s="595">
        <f>'3 Doprava a přeprava'!Q73</f>
        <v>0</v>
      </c>
      <c r="S197" s="596">
        <f>'3 Doprava a přeprava'!R73</f>
        <v>0</v>
      </c>
      <c r="T197" s="479"/>
      <c r="U197" s="288"/>
      <c r="V197" s="288"/>
      <c r="W197" s="288"/>
      <c r="X197" s="288"/>
      <c r="Y197" s="288"/>
      <c r="Z197" s="288"/>
      <c r="AA197" s="288"/>
      <c r="AB197" s="288"/>
      <c r="AC197" s="288"/>
    </row>
    <row r="198" spans="1:29" s="289" customFormat="1" ht="14.25" hidden="1" x14ac:dyDescent="0.3">
      <c r="A198" s="287"/>
      <c r="B198" s="2140"/>
      <c r="C198" s="607">
        <f t="shared" si="102"/>
        <v>0</v>
      </c>
      <c r="D198" s="581"/>
      <c r="E198" s="595">
        <f>'3 Doprava a přeprava'!D73</f>
        <v>0</v>
      </c>
      <c r="F198" s="595">
        <f>'3 Doprava a přeprava'!E73</f>
        <v>0</v>
      </c>
      <c r="G198" s="595">
        <f>'3 Doprava a přeprava'!F73</f>
        <v>0</v>
      </c>
      <c r="H198" s="595">
        <f>'3 Doprava a přeprava'!G73</f>
        <v>0</v>
      </c>
      <c r="I198" s="595">
        <f>'3 Doprava a přeprava'!H73</f>
        <v>0</v>
      </c>
      <c r="J198" s="595">
        <f>'3 Doprava a přeprava'!I73</f>
        <v>0</v>
      </c>
      <c r="K198" s="595">
        <f>'3 Doprava a přeprava'!J73</f>
        <v>0</v>
      </c>
      <c r="L198" s="595">
        <f>'3 Doprava a přeprava'!K73</f>
        <v>0</v>
      </c>
      <c r="M198" s="595">
        <f>'3 Doprava a přeprava'!L73</f>
        <v>0</v>
      </c>
      <c r="N198" s="595">
        <f>'3 Doprava a přeprava'!M73</f>
        <v>0</v>
      </c>
      <c r="O198" s="595">
        <f>'3 Doprava a přeprava'!N73</f>
        <v>0</v>
      </c>
      <c r="P198" s="595">
        <f>'3 Doprava a přeprava'!O73</f>
        <v>0</v>
      </c>
      <c r="Q198" s="595">
        <f>'3 Doprava a přeprava'!P73</f>
        <v>0</v>
      </c>
      <c r="R198" s="595">
        <f>'3 Doprava a přeprava'!Q73</f>
        <v>0</v>
      </c>
      <c r="S198" s="596">
        <f>'3 Doprava a přeprava'!R73</f>
        <v>0</v>
      </c>
      <c r="T198" s="479"/>
      <c r="U198" s="288"/>
      <c r="V198" s="288"/>
      <c r="W198" s="288"/>
      <c r="X198" s="288"/>
      <c r="Y198" s="288"/>
      <c r="Z198" s="288"/>
      <c r="AA198" s="288"/>
      <c r="AB198" s="288"/>
      <c r="AC198" s="288"/>
    </row>
    <row r="199" spans="1:29" ht="15" hidden="1" thickBot="1" x14ac:dyDescent="0.35">
      <c r="A199" s="252"/>
      <c r="B199" s="239"/>
      <c r="C199" s="240">
        <f t="shared" si="102"/>
        <v>0</v>
      </c>
      <c r="D199" s="545"/>
      <c r="E199" s="615">
        <f t="shared" ref="E199:S199" si="103">SUM(E189:E198)</f>
        <v>0</v>
      </c>
      <c r="F199" s="616">
        <f t="shared" si="103"/>
        <v>0</v>
      </c>
      <c r="G199" s="616">
        <f t="shared" si="103"/>
        <v>0</v>
      </c>
      <c r="H199" s="616">
        <f t="shared" si="103"/>
        <v>0</v>
      </c>
      <c r="I199" s="616">
        <f t="shared" si="103"/>
        <v>0</v>
      </c>
      <c r="J199" s="616">
        <f t="shared" si="103"/>
        <v>0</v>
      </c>
      <c r="K199" s="616">
        <f t="shared" si="103"/>
        <v>0</v>
      </c>
      <c r="L199" s="616">
        <f t="shared" si="103"/>
        <v>0</v>
      </c>
      <c r="M199" s="616">
        <f t="shared" si="103"/>
        <v>0</v>
      </c>
      <c r="N199" s="616">
        <f t="shared" si="103"/>
        <v>0</v>
      </c>
      <c r="O199" s="616">
        <f t="shared" si="103"/>
        <v>0</v>
      </c>
      <c r="P199" s="616">
        <f t="shared" si="103"/>
        <v>0</v>
      </c>
      <c r="Q199" s="616">
        <f t="shared" si="103"/>
        <v>0</v>
      </c>
      <c r="R199" s="616">
        <f t="shared" si="103"/>
        <v>0</v>
      </c>
      <c r="S199" s="617">
        <f t="shared" si="103"/>
        <v>0</v>
      </c>
      <c r="T199" s="237"/>
      <c r="U199" s="237"/>
      <c r="V199" s="237"/>
      <c r="W199" s="237"/>
      <c r="X199" s="237"/>
      <c r="Y199" s="237"/>
      <c r="Z199" s="237"/>
      <c r="AA199" s="237"/>
      <c r="AB199" s="237"/>
      <c r="AC199" s="237"/>
    </row>
    <row r="200" spans="1:29" ht="14.25" hidden="1" thickBot="1" x14ac:dyDescent="0.35">
      <c r="A200" s="252"/>
      <c r="B200" s="253"/>
      <c r="C200" s="252"/>
      <c r="D200" s="236"/>
      <c r="E200" s="237"/>
      <c r="F200" s="237"/>
      <c r="G200" s="237"/>
      <c r="H200" s="237"/>
      <c r="I200" s="237"/>
      <c r="J200" s="237"/>
      <c r="K200" s="237"/>
      <c r="L200" s="237"/>
      <c r="M200" s="237"/>
      <c r="N200" s="237"/>
      <c r="O200" s="237"/>
      <c r="P200" s="237"/>
      <c r="Q200" s="237"/>
      <c r="R200" s="237"/>
      <c r="S200" s="237"/>
      <c r="T200" s="237"/>
      <c r="U200" s="237"/>
      <c r="V200" s="237"/>
      <c r="W200" s="237"/>
      <c r="X200" s="237"/>
      <c r="Y200" s="237"/>
      <c r="Z200" s="237"/>
      <c r="AA200" s="237"/>
      <c r="AB200" s="237"/>
      <c r="AC200" s="237"/>
    </row>
    <row r="201" spans="1:29" ht="14.25" hidden="1" x14ac:dyDescent="0.3">
      <c r="A201" s="245"/>
      <c r="B201" s="291"/>
      <c r="C201" s="292" t="str">
        <f>C187</f>
        <v>tis. osobokm</v>
      </c>
      <c r="D201" s="293"/>
      <c r="E201" s="2119">
        <f>E173</f>
        <v>2026</v>
      </c>
      <c r="F201" s="2121">
        <f t="shared" ref="F201" si="104">E201+1</f>
        <v>2027</v>
      </c>
      <c r="G201" s="2121">
        <f t="shared" ref="G201" si="105">F201+1</f>
        <v>2028</v>
      </c>
      <c r="H201" s="2121">
        <f t="shared" ref="H201" si="106">G201+1</f>
        <v>2029</v>
      </c>
      <c r="I201" s="2121">
        <f t="shared" ref="I201" si="107">H201+1</f>
        <v>2030</v>
      </c>
      <c r="J201" s="2121">
        <f t="shared" ref="J201" si="108">I201+1</f>
        <v>2031</v>
      </c>
      <c r="K201" s="2121">
        <f t="shared" ref="K201" si="109">J201+1</f>
        <v>2032</v>
      </c>
      <c r="L201" s="2121">
        <f t="shared" ref="L201" si="110">K201+1</f>
        <v>2033</v>
      </c>
      <c r="M201" s="2121">
        <f t="shared" ref="M201" si="111">L201+1</f>
        <v>2034</v>
      </c>
      <c r="N201" s="2121">
        <f t="shared" ref="N201" si="112">M201+1</f>
        <v>2035</v>
      </c>
      <c r="O201" s="2121">
        <f t="shared" ref="O201" si="113">N201+1</f>
        <v>2036</v>
      </c>
      <c r="P201" s="2121">
        <f t="shared" ref="P201" si="114">O201+1</f>
        <v>2037</v>
      </c>
      <c r="Q201" s="2121">
        <f t="shared" ref="Q201" si="115">P201+1</f>
        <v>2038</v>
      </c>
      <c r="R201" s="2121">
        <f t="shared" ref="R201" si="116">Q201+1</f>
        <v>2039</v>
      </c>
      <c r="S201" s="2123">
        <f t="shared" ref="S201" si="117">R201+1</f>
        <v>2040</v>
      </c>
      <c r="T201" s="247"/>
      <c r="U201" s="247"/>
      <c r="V201" s="247"/>
      <c r="W201" s="247"/>
      <c r="X201" s="247"/>
      <c r="Y201" s="247"/>
      <c r="Z201" s="247"/>
      <c r="AA201" s="247"/>
      <c r="AB201" s="247"/>
      <c r="AC201" s="247"/>
    </row>
    <row r="202" spans="1:29" ht="15" hidden="1" thickBot="1" x14ac:dyDescent="0.35">
      <c r="A202" s="245"/>
      <c r="B202" s="294" t="s">
        <v>4</v>
      </c>
      <c r="C202" s="546" t="str">
        <f>IF('0 Úvod'!$M$10="English",Slovnik!$D$283,Slovnik!$C$283)</f>
        <v>Scénář bez projektu</v>
      </c>
      <c r="D202" s="295" t="str">
        <f>D174</f>
        <v>Celkem</v>
      </c>
      <c r="E202" s="2120"/>
      <c r="F202" s="2122"/>
      <c r="G202" s="2122"/>
      <c r="H202" s="2122"/>
      <c r="I202" s="2122"/>
      <c r="J202" s="2122"/>
      <c r="K202" s="2122"/>
      <c r="L202" s="2122"/>
      <c r="M202" s="2122"/>
      <c r="N202" s="2122"/>
      <c r="O202" s="2122"/>
      <c r="P202" s="2122"/>
      <c r="Q202" s="2122"/>
      <c r="R202" s="2122"/>
      <c r="S202" s="2124"/>
      <c r="T202" s="247"/>
      <c r="U202" s="247"/>
      <c r="V202" s="247"/>
      <c r="W202" s="247"/>
      <c r="X202" s="247"/>
      <c r="Y202" s="247"/>
      <c r="Z202" s="247"/>
      <c r="AA202" s="247"/>
      <c r="AB202" s="247"/>
      <c r="AC202" s="247"/>
    </row>
    <row r="203" spans="1:29" ht="12" hidden="1" customHeight="1" x14ac:dyDescent="0.3">
      <c r="A203" s="245"/>
      <c r="B203" s="2137" t="str">
        <f>B189</f>
        <v>BUS</v>
      </c>
      <c r="C203" s="601">
        <f>C189</f>
        <v>0</v>
      </c>
      <c r="D203" s="586">
        <f t="shared" ref="D203:D212" si="118">SUM(E203:S203,E217:S217)</f>
        <v>0</v>
      </c>
      <c r="E203" s="602">
        <f>'3 Doprava a přeprava'!D78</f>
        <v>0</v>
      </c>
      <c r="F203" s="592">
        <f>'3 Doprava a přeprava'!E78</f>
        <v>0</v>
      </c>
      <c r="G203" s="592">
        <f>'3 Doprava a přeprava'!F78</f>
        <v>0</v>
      </c>
      <c r="H203" s="592">
        <f>'3 Doprava a přeprava'!G78</f>
        <v>0</v>
      </c>
      <c r="I203" s="592">
        <f>'3 Doprava a přeprava'!H78</f>
        <v>0</v>
      </c>
      <c r="J203" s="592">
        <f>'3 Doprava a přeprava'!I78</f>
        <v>0</v>
      </c>
      <c r="K203" s="592">
        <f>'3 Doprava a přeprava'!J78</f>
        <v>0</v>
      </c>
      <c r="L203" s="592">
        <f>'3 Doprava a přeprava'!K78</f>
        <v>0</v>
      </c>
      <c r="M203" s="592">
        <f>'3 Doprava a přeprava'!L78</f>
        <v>0</v>
      </c>
      <c r="N203" s="592">
        <f>'3 Doprava a přeprava'!M78</f>
        <v>0</v>
      </c>
      <c r="O203" s="592">
        <f>'3 Doprava a přeprava'!N78</f>
        <v>0</v>
      </c>
      <c r="P203" s="592">
        <f>'3 Doprava a přeprava'!O78</f>
        <v>0</v>
      </c>
      <c r="Q203" s="592">
        <f>'3 Doprava a přeprava'!P78</f>
        <v>0</v>
      </c>
      <c r="R203" s="592">
        <f>'3 Doprava a přeprava'!Q78</f>
        <v>0</v>
      </c>
      <c r="S203" s="593">
        <f>'3 Doprava a přeprava'!R78</f>
        <v>0</v>
      </c>
      <c r="T203" s="477"/>
      <c r="U203" s="236"/>
      <c r="V203" s="236"/>
      <c r="W203" s="236"/>
      <c r="X203" s="236"/>
      <c r="Y203" s="236"/>
      <c r="Z203" s="236"/>
      <c r="AA203" s="236"/>
      <c r="AB203" s="236"/>
      <c r="AC203" s="236"/>
    </row>
    <row r="204" spans="1:29" ht="12" hidden="1" customHeight="1" x14ac:dyDescent="0.3">
      <c r="A204" s="245"/>
      <c r="B204" s="2138"/>
      <c r="C204" s="603">
        <f t="shared" ref="C204:C213" si="119">C190</f>
        <v>0</v>
      </c>
      <c r="D204" s="587">
        <f t="shared" si="118"/>
        <v>0</v>
      </c>
      <c r="E204" s="604">
        <f>'3 Doprava a přeprava'!D78</f>
        <v>0</v>
      </c>
      <c r="F204" s="599">
        <f>'3 Doprava a přeprava'!E78</f>
        <v>0</v>
      </c>
      <c r="G204" s="599">
        <f>'3 Doprava a přeprava'!F78</f>
        <v>0</v>
      </c>
      <c r="H204" s="599">
        <f>'3 Doprava a přeprava'!G78</f>
        <v>0</v>
      </c>
      <c r="I204" s="599">
        <f>'3 Doprava a přeprava'!H78</f>
        <v>0</v>
      </c>
      <c r="J204" s="599">
        <f>'3 Doprava a přeprava'!I78</f>
        <v>0</v>
      </c>
      <c r="K204" s="599">
        <f>'3 Doprava a přeprava'!J78</f>
        <v>0</v>
      </c>
      <c r="L204" s="599">
        <f>'3 Doprava a přeprava'!K78</f>
        <v>0</v>
      </c>
      <c r="M204" s="599">
        <f>'3 Doprava a přeprava'!L78</f>
        <v>0</v>
      </c>
      <c r="N204" s="599">
        <f>'3 Doprava a přeprava'!M78</f>
        <v>0</v>
      </c>
      <c r="O204" s="599">
        <f>'3 Doprava a přeprava'!N78</f>
        <v>0</v>
      </c>
      <c r="P204" s="599">
        <f>'3 Doprava a přeprava'!O78</f>
        <v>0</v>
      </c>
      <c r="Q204" s="599">
        <f>'3 Doprava a přeprava'!P78</f>
        <v>0</v>
      </c>
      <c r="R204" s="599">
        <f>'3 Doprava a přeprava'!Q78</f>
        <v>0</v>
      </c>
      <c r="S204" s="600">
        <f>'3 Doprava a přeprava'!R78</f>
        <v>0</v>
      </c>
      <c r="T204" s="477"/>
      <c r="U204" s="236"/>
      <c r="V204" s="236"/>
      <c r="W204" s="236"/>
      <c r="X204" s="236"/>
      <c r="Y204" s="236"/>
      <c r="Z204" s="236"/>
      <c r="AA204" s="236"/>
      <c r="AB204" s="236"/>
      <c r="AC204" s="236"/>
    </row>
    <row r="205" spans="1:29" s="289" customFormat="1" ht="12" hidden="1" customHeight="1" x14ac:dyDescent="0.3">
      <c r="A205" s="287"/>
      <c r="B205" s="2139" t="str">
        <f>B191</f>
        <v>Trolejbus</v>
      </c>
      <c r="C205" s="605">
        <f t="shared" si="119"/>
        <v>0</v>
      </c>
      <c r="D205" s="580">
        <f t="shared" si="118"/>
        <v>0</v>
      </c>
      <c r="E205" s="606">
        <f>'3 Doprava a přeprava'!D79</f>
        <v>0</v>
      </c>
      <c r="F205" s="597">
        <f>'3 Doprava a přeprava'!E79</f>
        <v>0</v>
      </c>
      <c r="G205" s="597">
        <f>'3 Doprava a přeprava'!F79</f>
        <v>0</v>
      </c>
      <c r="H205" s="597">
        <f>'3 Doprava a přeprava'!G79</f>
        <v>0</v>
      </c>
      <c r="I205" s="597">
        <f>'3 Doprava a přeprava'!H79</f>
        <v>0</v>
      </c>
      <c r="J205" s="597">
        <f>'3 Doprava a přeprava'!I79</f>
        <v>0</v>
      </c>
      <c r="K205" s="597">
        <f>'3 Doprava a přeprava'!J79</f>
        <v>0</v>
      </c>
      <c r="L205" s="597">
        <f>'3 Doprava a přeprava'!K79</f>
        <v>0</v>
      </c>
      <c r="M205" s="597">
        <f>'3 Doprava a přeprava'!L79</f>
        <v>0</v>
      </c>
      <c r="N205" s="597">
        <f>'3 Doprava a přeprava'!M79</f>
        <v>0</v>
      </c>
      <c r="O205" s="597">
        <f>'3 Doprava a přeprava'!N79</f>
        <v>0</v>
      </c>
      <c r="P205" s="597">
        <f>'3 Doprava a přeprava'!O79</f>
        <v>0</v>
      </c>
      <c r="Q205" s="597">
        <f>'3 Doprava a přeprava'!P79</f>
        <v>0</v>
      </c>
      <c r="R205" s="597">
        <f>'3 Doprava a přeprava'!Q79</f>
        <v>0</v>
      </c>
      <c r="S205" s="598">
        <f>'3 Doprava a přeprava'!R79</f>
        <v>0</v>
      </c>
      <c r="T205" s="479"/>
      <c r="U205" s="288"/>
      <c r="V205" s="288"/>
      <c r="W205" s="288"/>
      <c r="X205" s="288"/>
      <c r="Y205" s="288"/>
      <c r="Z205" s="288"/>
      <c r="AA205" s="288"/>
      <c r="AB205" s="288"/>
      <c r="AC205" s="288"/>
    </row>
    <row r="206" spans="1:29" s="289" customFormat="1" ht="12" hidden="1" customHeight="1" x14ac:dyDescent="0.3">
      <c r="A206" s="287"/>
      <c r="B206" s="2140"/>
      <c r="C206" s="607">
        <f t="shared" si="119"/>
        <v>0</v>
      </c>
      <c r="D206" s="581">
        <f t="shared" si="118"/>
        <v>0</v>
      </c>
      <c r="E206" s="604">
        <f>'3 Doprava a přeprava'!D79</f>
        <v>0</v>
      </c>
      <c r="F206" s="599">
        <f>'3 Doprava a přeprava'!E79</f>
        <v>0</v>
      </c>
      <c r="G206" s="599">
        <f>'3 Doprava a přeprava'!F79</f>
        <v>0</v>
      </c>
      <c r="H206" s="599">
        <f>'3 Doprava a přeprava'!G79</f>
        <v>0</v>
      </c>
      <c r="I206" s="599">
        <f>'3 Doprava a přeprava'!H79</f>
        <v>0</v>
      </c>
      <c r="J206" s="599">
        <f>'3 Doprava a přeprava'!I79</f>
        <v>0</v>
      </c>
      <c r="K206" s="599">
        <f>'3 Doprava a přeprava'!J79</f>
        <v>0</v>
      </c>
      <c r="L206" s="599">
        <f>'3 Doprava a přeprava'!K79</f>
        <v>0</v>
      </c>
      <c r="M206" s="599">
        <f>'3 Doprava a přeprava'!L79</f>
        <v>0</v>
      </c>
      <c r="N206" s="599">
        <f>'3 Doprava a přeprava'!M79</f>
        <v>0</v>
      </c>
      <c r="O206" s="599">
        <f>'3 Doprava a přeprava'!N79</f>
        <v>0</v>
      </c>
      <c r="P206" s="599">
        <f>'3 Doprava a přeprava'!O79</f>
        <v>0</v>
      </c>
      <c r="Q206" s="599">
        <f>'3 Doprava a přeprava'!P79</f>
        <v>0</v>
      </c>
      <c r="R206" s="599">
        <f>'3 Doprava a přeprava'!Q79</f>
        <v>0</v>
      </c>
      <c r="S206" s="600">
        <f>'3 Doprava a přeprava'!R79</f>
        <v>0</v>
      </c>
      <c r="T206" s="479"/>
      <c r="U206" s="288"/>
      <c r="V206" s="288"/>
      <c r="W206" s="288"/>
      <c r="X206" s="288"/>
      <c r="Y206" s="288"/>
      <c r="Z206" s="288"/>
      <c r="AA206" s="288"/>
      <c r="AB206" s="288"/>
      <c r="AC206" s="288"/>
    </row>
    <row r="207" spans="1:29" ht="12" hidden="1" customHeight="1" x14ac:dyDescent="0.3">
      <c r="A207" s="245"/>
      <c r="B207" s="2139" t="str">
        <f>B193</f>
        <v>Tramvaj</v>
      </c>
      <c r="C207" s="603">
        <f t="shared" si="119"/>
        <v>0</v>
      </c>
      <c r="D207" s="587">
        <f t="shared" si="118"/>
        <v>0</v>
      </c>
      <c r="E207" s="606">
        <f>'3 Doprava a přeprava'!D80</f>
        <v>0</v>
      </c>
      <c r="F207" s="597">
        <f>'3 Doprava a přeprava'!E80</f>
        <v>0</v>
      </c>
      <c r="G207" s="597">
        <f>'3 Doprava a přeprava'!F80</f>
        <v>0</v>
      </c>
      <c r="H207" s="597">
        <f>'3 Doprava a přeprava'!G80</f>
        <v>0</v>
      </c>
      <c r="I207" s="597">
        <f>'3 Doprava a přeprava'!H80</f>
        <v>0</v>
      </c>
      <c r="J207" s="597">
        <f>'3 Doprava a přeprava'!I80</f>
        <v>0</v>
      </c>
      <c r="K207" s="597">
        <f>'3 Doprava a přeprava'!J80</f>
        <v>0</v>
      </c>
      <c r="L207" s="597">
        <f>'3 Doprava a přeprava'!K80</f>
        <v>0</v>
      </c>
      <c r="M207" s="597">
        <f>'3 Doprava a přeprava'!L80</f>
        <v>0</v>
      </c>
      <c r="N207" s="597">
        <f>'3 Doprava a přeprava'!M80</f>
        <v>0</v>
      </c>
      <c r="O207" s="597">
        <f>'3 Doprava a přeprava'!N80</f>
        <v>0</v>
      </c>
      <c r="P207" s="597">
        <f>'3 Doprava a přeprava'!O80</f>
        <v>0</v>
      </c>
      <c r="Q207" s="597">
        <f>'3 Doprava a přeprava'!P80</f>
        <v>0</v>
      </c>
      <c r="R207" s="597">
        <f>'3 Doprava a přeprava'!Q80</f>
        <v>0</v>
      </c>
      <c r="S207" s="598">
        <f>'3 Doprava a přeprava'!R80</f>
        <v>0</v>
      </c>
      <c r="T207" s="477"/>
      <c r="U207" s="236"/>
      <c r="V207" s="236"/>
      <c r="W207" s="236"/>
      <c r="X207" s="236"/>
      <c r="Y207" s="236"/>
      <c r="Z207" s="236"/>
      <c r="AA207" s="236"/>
      <c r="AB207" s="236"/>
      <c r="AC207" s="236"/>
    </row>
    <row r="208" spans="1:29" ht="12" hidden="1" customHeight="1" x14ac:dyDescent="0.3">
      <c r="A208" s="245"/>
      <c r="B208" s="2140"/>
      <c r="C208" s="603">
        <f t="shared" si="119"/>
        <v>0</v>
      </c>
      <c r="D208" s="587">
        <f t="shared" si="118"/>
        <v>0</v>
      </c>
      <c r="E208" s="604">
        <f>'3 Doprava a přeprava'!D80</f>
        <v>0</v>
      </c>
      <c r="F208" s="599">
        <f>'3 Doprava a přeprava'!E80</f>
        <v>0</v>
      </c>
      <c r="G208" s="599">
        <f>'3 Doprava a přeprava'!F80</f>
        <v>0</v>
      </c>
      <c r="H208" s="599">
        <f>'3 Doprava a přeprava'!G80</f>
        <v>0</v>
      </c>
      <c r="I208" s="599">
        <f>'3 Doprava a přeprava'!H80</f>
        <v>0</v>
      </c>
      <c r="J208" s="599">
        <f>'3 Doprava a přeprava'!I80</f>
        <v>0</v>
      </c>
      <c r="K208" s="599">
        <f>'3 Doprava a přeprava'!J80</f>
        <v>0</v>
      </c>
      <c r="L208" s="599">
        <f>'3 Doprava a přeprava'!K80</f>
        <v>0</v>
      </c>
      <c r="M208" s="599">
        <f>'3 Doprava a přeprava'!L80</f>
        <v>0</v>
      </c>
      <c r="N208" s="599">
        <f>'3 Doprava a přeprava'!M80</f>
        <v>0</v>
      </c>
      <c r="O208" s="599">
        <f>'3 Doprava a přeprava'!N80</f>
        <v>0</v>
      </c>
      <c r="P208" s="599">
        <f>'3 Doprava a přeprava'!O80</f>
        <v>0</v>
      </c>
      <c r="Q208" s="599">
        <f>'3 Doprava a přeprava'!P80</f>
        <v>0</v>
      </c>
      <c r="R208" s="599">
        <f>'3 Doprava a přeprava'!Q80</f>
        <v>0</v>
      </c>
      <c r="S208" s="600">
        <f>'3 Doprava a přeprava'!R80</f>
        <v>0</v>
      </c>
      <c r="T208" s="477"/>
      <c r="U208" s="236"/>
      <c r="V208" s="236"/>
      <c r="W208" s="236"/>
      <c r="X208" s="236"/>
      <c r="Y208" s="236"/>
      <c r="Z208" s="236"/>
      <c r="AA208" s="236"/>
      <c r="AB208" s="236"/>
      <c r="AC208" s="236"/>
    </row>
    <row r="209" spans="1:29" s="289" customFormat="1" ht="12" hidden="1" customHeight="1" x14ac:dyDescent="0.3">
      <c r="A209" s="287"/>
      <c r="B209" s="2141" t="str">
        <f>B195</f>
        <v>Metro</v>
      </c>
      <c r="C209" s="605">
        <f t="shared" si="119"/>
        <v>0</v>
      </c>
      <c r="D209" s="588">
        <f t="shared" si="118"/>
        <v>0</v>
      </c>
      <c r="E209" s="606">
        <f>'3 Doprava a přeprava'!D81</f>
        <v>0</v>
      </c>
      <c r="F209" s="597">
        <f>'3 Doprava a přeprava'!E81</f>
        <v>0</v>
      </c>
      <c r="G209" s="597">
        <f>'3 Doprava a přeprava'!F81</f>
        <v>0</v>
      </c>
      <c r="H209" s="597">
        <f>'3 Doprava a přeprava'!G81</f>
        <v>0</v>
      </c>
      <c r="I209" s="597">
        <f>'3 Doprava a přeprava'!H81</f>
        <v>0</v>
      </c>
      <c r="J209" s="597">
        <f>'3 Doprava a přeprava'!I81</f>
        <v>0</v>
      </c>
      <c r="K209" s="597">
        <f>'3 Doprava a přeprava'!J81</f>
        <v>0</v>
      </c>
      <c r="L209" s="597">
        <f>'3 Doprava a přeprava'!K81</f>
        <v>0</v>
      </c>
      <c r="M209" s="597">
        <f>'3 Doprava a přeprava'!L81</f>
        <v>0</v>
      </c>
      <c r="N209" s="597">
        <f>'3 Doprava a přeprava'!M81</f>
        <v>0</v>
      </c>
      <c r="O209" s="597">
        <f>'3 Doprava a přeprava'!N81</f>
        <v>0</v>
      </c>
      <c r="P209" s="597">
        <f>'3 Doprava a přeprava'!O81</f>
        <v>0</v>
      </c>
      <c r="Q209" s="597">
        <f>'3 Doprava a přeprava'!P81</f>
        <v>0</v>
      </c>
      <c r="R209" s="597">
        <f>'3 Doprava a přeprava'!Q81</f>
        <v>0</v>
      </c>
      <c r="S209" s="598">
        <f>'3 Doprava a přeprava'!R81</f>
        <v>0</v>
      </c>
      <c r="T209" s="479"/>
      <c r="U209" s="288"/>
      <c r="V209" s="288"/>
      <c r="W209" s="288"/>
      <c r="X209" s="288"/>
      <c r="Y209" s="288"/>
      <c r="Z209" s="288"/>
      <c r="AA209" s="288"/>
      <c r="AB209" s="288"/>
      <c r="AC209" s="288"/>
    </row>
    <row r="210" spans="1:29" s="289" customFormat="1" ht="12" hidden="1" customHeight="1" x14ac:dyDescent="0.3">
      <c r="A210" s="287"/>
      <c r="B210" s="2140"/>
      <c r="C210" s="607">
        <f t="shared" si="119"/>
        <v>0</v>
      </c>
      <c r="D210" s="589">
        <f t="shared" si="118"/>
        <v>0</v>
      </c>
      <c r="E210" s="604">
        <f>'3 Doprava a přeprava'!D81</f>
        <v>0</v>
      </c>
      <c r="F210" s="599">
        <f>'3 Doprava a přeprava'!E81</f>
        <v>0</v>
      </c>
      <c r="G210" s="599">
        <f>'3 Doprava a přeprava'!F81</f>
        <v>0</v>
      </c>
      <c r="H210" s="599">
        <f>'3 Doprava a přeprava'!G81</f>
        <v>0</v>
      </c>
      <c r="I210" s="599">
        <f>'3 Doprava a přeprava'!H81</f>
        <v>0</v>
      </c>
      <c r="J210" s="599">
        <f>'3 Doprava a přeprava'!I81</f>
        <v>0</v>
      </c>
      <c r="K210" s="599">
        <f>'3 Doprava a přeprava'!J81</f>
        <v>0</v>
      </c>
      <c r="L210" s="599">
        <f>'3 Doprava a přeprava'!K81</f>
        <v>0</v>
      </c>
      <c r="M210" s="599">
        <f>'3 Doprava a přeprava'!L81</f>
        <v>0</v>
      </c>
      <c r="N210" s="599">
        <f>'3 Doprava a přeprava'!M81</f>
        <v>0</v>
      </c>
      <c r="O210" s="599">
        <f>'3 Doprava a přeprava'!N81</f>
        <v>0</v>
      </c>
      <c r="P210" s="599">
        <f>'3 Doprava a přeprava'!O81</f>
        <v>0</v>
      </c>
      <c r="Q210" s="599">
        <f>'3 Doprava a přeprava'!P81</f>
        <v>0</v>
      </c>
      <c r="R210" s="599">
        <f>'3 Doprava a přeprava'!Q81</f>
        <v>0</v>
      </c>
      <c r="S210" s="600">
        <f>'3 Doprava a přeprava'!R81</f>
        <v>0</v>
      </c>
      <c r="T210" s="479"/>
      <c r="U210" s="288"/>
      <c r="V210" s="288"/>
      <c r="W210" s="288"/>
      <c r="X210" s="288"/>
      <c r="Y210" s="288"/>
      <c r="Z210" s="288"/>
      <c r="AA210" s="288"/>
      <c r="AB210" s="288"/>
      <c r="AC210" s="288"/>
    </row>
    <row r="211" spans="1:29" s="289" customFormat="1" ht="12" hidden="1" customHeight="1" x14ac:dyDescent="0.3">
      <c r="A211" s="287"/>
      <c r="B211" s="2139" t="str">
        <f>B197</f>
        <v>IAD</v>
      </c>
      <c r="C211" s="605">
        <f t="shared" si="119"/>
        <v>0</v>
      </c>
      <c r="D211" s="580">
        <f t="shared" si="118"/>
        <v>0</v>
      </c>
      <c r="E211" s="595">
        <f>'3 Doprava a přeprava'!D82</f>
        <v>0</v>
      </c>
      <c r="F211" s="595">
        <f>'3 Doprava a přeprava'!E82</f>
        <v>0</v>
      </c>
      <c r="G211" s="595">
        <f>'3 Doprava a přeprava'!F82</f>
        <v>0</v>
      </c>
      <c r="H211" s="595">
        <f>'3 Doprava a přeprava'!G82</f>
        <v>0</v>
      </c>
      <c r="I211" s="595">
        <f>'3 Doprava a přeprava'!H82</f>
        <v>0</v>
      </c>
      <c r="J211" s="595">
        <f>'3 Doprava a přeprava'!I82</f>
        <v>0</v>
      </c>
      <c r="K211" s="595">
        <f>'3 Doprava a přeprava'!J82</f>
        <v>0</v>
      </c>
      <c r="L211" s="595">
        <f>'3 Doprava a přeprava'!K82</f>
        <v>0</v>
      </c>
      <c r="M211" s="595">
        <f>'3 Doprava a přeprava'!L82</f>
        <v>0</v>
      </c>
      <c r="N211" s="595">
        <f>'3 Doprava a přeprava'!M82</f>
        <v>0</v>
      </c>
      <c r="O211" s="595">
        <f>'3 Doprava a přeprava'!N82</f>
        <v>0</v>
      </c>
      <c r="P211" s="595">
        <f>'3 Doprava a přeprava'!O82</f>
        <v>0</v>
      </c>
      <c r="Q211" s="595">
        <f>'3 Doprava a přeprava'!P82</f>
        <v>0</v>
      </c>
      <c r="R211" s="595">
        <f>'3 Doprava a přeprava'!Q82</f>
        <v>0</v>
      </c>
      <c r="S211" s="596">
        <f>'3 Doprava a přeprava'!R82</f>
        <v>0</v>
      </c>
      <c r="T211" s="479"/>
      <c r="U211" s="288"/>
      <c r="V211" s="288"/>
      <c r="W211" s="288"/>
      <c r="X211" s="288"/>
      <c r="Y211" s="288"/>
      <c r="Z211" s="288"/>
      <c r="AA211" s="288"/>
      <c r="AB211" s="288"/>
      <c r="AC211" s="288"/>
    </row>
    <row r="212" spans="1:29" s="289" customFormat="1" ht="12" hidden="1" customHeight="1" x14ac:dyDescent="0.3">
      <c r="A212" s="287"/>
      <c r="B212" s="2140"/>
      <c r="C212" s="607">
        <f t="shared" si="119"/>
        <v>0</v>
      </c>
      <c r="D212" s="581">
        <f t="shared" si="118"/>
        <v>0</v>
      </c>
      <c r="E212" s="595">
        <f>'3 Doprava a přeprava'!D82</f>
        <v>0</v>
      </c>
      <c r="F212" s="595">
        <f>'3 Doprava a přeprava'!E82</f>
        <v>0</v>
      </c>
      <c r="G212" s="595">
        <f>'3 Doprava a přeprava'!F82</f>
        <v>0</v>
      </c>
      <c r="H212" s="595">
        <f>'3 Doprava a přeprava'!G82</f>
        <v>0</v>
      </c>
      <c r="I212" s="595">
        <f>'3 Doprava a přeprava'!H82</f>
        <v>0</v>
      </c>
      <c r="J212" s="595">
        <f>'3 Doprava a přeprava'!I82</f>
        <v>0</v>
      </c>
      <c r="K212" s="595">
        <f>'3 Doprava a přeprava'!J82</f>
        <v>0</v>
      </c>
      <c r="L212" s="595">
        <f>'3 Doprava a přeprava'!K82</f>
        <v>0</v>
      </c>
      <c r="M212" s="595">
        <f>'3 Doprava a přeprava'!L82</f>
        <v>0</v>
      </c>
      <c r="N212" s="595">
        <f>'3 Doprava a přeprava'!M82</f>
        <v>0</v>
      </c>
      <c r="O212" s="595">
        <f>'3 Doprava a přeprava'!N82</f>
        <v>0</v>
      </c>
      <c r="P212" s="595">
        <f>'3 Doprava a přeprava'!O82</f>
        <v>0</v>
      </c>
      <c r="Q212" s="595">
        <f>'3 Doprava a přeprava'!P82</f>
        <v>0</v>
      </c>
      <c r="R212" s="595">
        <f>'3 Doprava a přeprava'!Q82</f>
        <v>0</v>
      </c>
      <c r="S212" s="596">
        <f>'3 Doprava a přeprava'!R82</f>
        <v>0</v>
      </c>
      <c r="T212" s="479"/>
      <c r="U212" s="288"/>
      <c r="V212" s="288"/>
      <c r="W212" s="288"/>
      <c r="X212" s="288"/>
      <c r="Y212" s="288"/>
      <c r="Z212" s="288"/>
      <c r="AA212" s="288"/>
      <c r="AB212" s="288"/>
      <c r="AC212" s="288"/>
    </row>
    <row r="213" spans="1:29" ht="12.75" hidden="1" customHeight="1" thickBot="1" x14ac:dyDescent="0.35">
      <c r="A213" s="245"/>
      <c r="B213" s="244"/>
      <c r="C213" s="243">
        <f t="shared" si="119"/>
        <v>0</v>
      </c>
      <c r="D213" s="273"/>
      <c r="E213" s="483"/>
      <c r="F213" s="484"/>
      <c r="G213" s="484"/>
      <c r="H213" s="484"/>
      <c r="I213" s="484"/>
      <c r="J213" s="484"/>
      <c r="K213" s="484"/>
      <c r="L213" s="484"/>
      <c r="M213" s="484"/>
      <c r="N213" s="484"/>
      <c r="O213" s="484"/>
      <c r="P213" s="484"/>
      <c r="Q213" s="484"/>
      <c r="R213" s="484"/>
      <c r="S213" s="485"/>
      <c r="T213" s="237"/>
      <c r="U213" s="237"/>
      <c r="V213" s="237"/>
      <c r="W213" s="237"/>
      <c r="X213" s="237"/>
      <c r="Y213" s="237"/>
      <c r="Z213" s="237"/>
      <c r="AA213" s="237"/>
      <c r="AB213" s="237"/>
      <c r="AC213" s="237"/>
    </row>
    <row r="214" spans="1:29" ht="12.75" hidden="1" customHeight="1" thickBot="1" x14ac:dyDescent="0.35">
      <c r="A214" s="245"/>
      <c r="B214" s="249"/>
      <c r="C214" s="245"/>
      <c r="D214" s="236"/>
      <c r="E214" s="236"/>
      <c r="F214" s="236"/>
      <c r="G214" s="236"/>
      <c r="H214" s="236"/>
      <c r="I214" s="236"/>
      <c r="J214" s="236"/>
      <c r="K214" s="236"/>
      <c r="L214" s="236"/>
      <c r="M214" s="236"/>
      <c r="N214" s="236"/>
      <c r="O214" s="236"/>
      <c r="P214" s="236"/>
      <c r="Q214" s="236"/>
      <c r="R214" s="236"/>
      <c r="S214" s="236"/>
      <c r="T214" s="236"/>
      <c r="U214" s="236"/>
      <c r="V214" s="236"/>
      <c r="W214" s="236"/>
      <c r="X214" s="236"/>
      <c r="Y214" s="236"/>
      <c r="Z214" s="236"/>
      <c r="AA214" s="236"/>
      <c r="AB214" s="236"/>
      <c r="AC214" s="236"/>
    </row>
    <row r="215" spans="1:29" ht="12.75" hidden="1" customHeight="1" x14ac:dyDescent="0.3">
      <c r="A215" s="245"/>
      <c r="B215" s="291">
        <f>B201</f>
        <v>0</v>
      </c>
      <c r="C215" s="292" t="str">
        <f>C201</f>
        <v>tis. osobokm</v>
      </c>
      <c r="D215" s="296"/>
      <c r="E215" s="2119">
        <f>S201+1</f>
        <v>2041</v>
      </c>
      <c r="F215" s="2121">
        <f t="shared" ref="F215" si="120">E215+1</f>
        <v>2042</v>
      </c>
      <c r="G215" s="2121">
        <f t="shared" ref="G215" si="121">F215+1</f>
        <v>2043</v>
      </c>
      <c r="H215" s="2121">
        <f t="shared" ref="H215" si="122">G215+1</f>
        <v>2044</v>
      </c>
      <c r="I215" s="2121">
        <f t="shared" ref="I215" si="123">H215+1</f>
        <v>2045</v>
      </c>
      <c r="J215" s="2121">
        <f t="shared" ref="J215" si="124">I215+1</f>
        <v>2046</v>
      </c>
      <c r="K215" s="2121">
        <f t="shared" ref="K215" si="125">J215+1</f>
        <v>2047</v>
      </c>
      <c r="L215" s="2121">
        <f t="shared" ref="L215" si="126">K215+1</f>
        <v>2048</v>
      </c>
      <c r="M215" s="2121">
        <f t="shared" ref="M215" si="127">L215+1</f>
        <v>2049</v>
      </c>
      <c r="N215" s="2121">
        <f t="shared" ref="N215" si="128">M215+1</f>
        <v>2050</v>
      </c>
      <c r="O215" s="2121">
        <f t="shared" ref="O215" si="129">N215+1</f>
        <v>2051</v>
      </c>
      <c r="P215" s="2121">
        <f t="shared" ref="P215" si="130">O215+1</f>
        <v>2052</v>
      </c>
      <c r="Q215" s="2121">
        <f t="shared" ref="Q215" si="131">P215+1</f>
        <v>2053</v>
      </c>
      <c r="R215" s="2121">
        <f t="shared" ref="R215" si="132">Q215+1</f>
        <v>2054</v>
      </c>
      <c r="S215" s="2123">
        <f t="shared" ref="S215" si="133">R215+1</f>
        <v>2055</v>
      </c>
      <c r="T215" s="247"/>
      <c r="U215" s="247"/>
      <c r="V215" s="247"/>
      <c r="W215" s="247"/>
      <c r="X215" s="247"/>
      <c r="Y215" s="247"/>
      <c r="Z215" s="247"/>
      <c r="AA215" s="247"/>
      <c r="AB215" s="247"/>
      <c r="AC215" s="247"/>
    </row>
    <row r="216" spans="1:29" ht="12.75" hidden="1" customHeight="1" thickBot="1" x14ac:dyDescent="0.35">
      <c r="A216" s="245"/>
      <c r="B216" s="294" t="s">
        <v>5</v>
      </c>
      <c r="C216" s="546" t="str">
        <f t="shared" ref="C216:C227" si="134">C202</f>
        <v>Scénář bez projektu</v>
      </c>
      <c r="D216" s="547"/>
      <c r="E216" s="2120">
        <f>S202+1</f>
        <v>1</v>
      </c>
      <c r="F216" s="2122"/>
      <c r="G216" s="2122"/>
      <c r="H216" s="2122"/>
      <c r="I216" s="2122"/>
      <c r="J216" s="2122"/>
      <c r="K216" s="2122"/>
      <c r="L216" s="2122"/>
      <c r="M216" s="2122"/>
      <c r="N216" s="2122"/>
      <c r="O216" s="2122"/>
      <c r="P216" s="2122"/>
      <c r="Q216" s="2122"/>
      <c r="R216" s="2122"/>
      <c r="S216" s="2124"/>
      <c r="T216" s="247"/>
      <c r="U216" s="247"/>
      <c r="V216" s="247"/>
      <c r="W216" s="247"/>
      <c r="X216" s="247"/>
      <c r="Y216" s="247"/>
      <c r="Z216" s="247"/>
      <c r="AA216" s="247"/>
      <c r="AB216" s="247"/>
      <c r="AC216" s="247"/>
    </row>
    <row r="217" spans="1:29" ht="12.75" hidden="1" customHeight="1" x14ac:dyDescent="0.3">
      <c r="A217" s="245"/>
      <c r="B217" s="2137" t="str">
        <f>B203</f>
        <v>BUS</v>
      </c>
      <c r="C217" s="601">
        <f t="shared" si="134"/>
        <v>0</v>
      </c>
      <c r="D217" s="586"/>
      <c r="E217" s="602">
        <f>'3 Doprava a přeprava'!D87</f>
        <v>0</v>
      </c>
      <c r="F217" s="592">
        <f>'3 Doprava a přeprava'!E87</f>
        <v>0</v>
      </c>
      <c r="G217" s="592">
        <f>'3 Doprava a přeprava'!F87</f>
        <v>0</v>
      </c>
      <c r="H217" s="592">
        <f>'3 Doprava a přeprava'!G87</f>
        <v>0</v>
      </c>
      <c r="I217" s="592">
        <f>'3 Doprava a přeprava'!H87</f>
        <v>0</v>
      </c>
      <c r="J217" s="592">
        <f>'3 Doprava a přeprava'!I87</f>
        <v>0</v>
      </c>
      <c r="K217" s="592">
        <f>'3 Doprava a přeprava'!J87</f>
        <v>0</v>
      </c>
      <c r="L217" s="592">
        <f>'3 Doprava a přeprava'!K87</f>
        <v>0</v>
      </c>
      <c r="M217" s="592">
        <f>'3 Doprava a přeprava'!L87</f>
        <v>0</v>
      </c>
      <c r="N217" s="592">
        <f>'3 Doprava a přeprava'!M87</f>
        <v>0</v>
      </c>
      <c r="O217" s="592">
        <f>'3 Doprava a přeprava'!N87</f>
        <v>0</v>
      </c>
      <c r="P217" s="592">
        <f>'3 Doprava a přeprava'!O87</f>
        <v>0</v>
      </c>
      <c r="Q217" s="592">
        <f>'3 Doprava a přeprava'!P87</f>
        <v>0</v>
      </c>
      <c r="R217" s="592">
        <f>'3 Doprava a přeprava'!Q87</f>
        <v>0</v>
      </c>
      <c r="S217" s="593">
        <f>'3 Doprava a přeprava'!R87</f>
        <v>0</v>
      </c>
      <c r="T217" s="477"/>
      <c r="U217" s="236"/>
      <c r="V217" s="236"/>
      <c r="W217" s="236"/>
      <c r="X217" s="236"/>
      <c r="Y217" s="236"/>
      <c r="Z217" s="236"/>
      <c r="AA217" s="236"/>
      <c r="AB217" s="236"/>
      <c r="AC217" s="236"/>
    </row>
    <row r="218" spans="1:29" ht="12.75" hidden="1" customHeight="1" x14ac:dyDescent="0.3">
      <c r="A218" s="245"/>
      <c r="B218" s="2138"/>
      <c r="C218" s="603">
        <f t="shared" si="134"/>
        <v>0</v>
      </c>
      <c r="D218" s="587"/>
      <c r="E218" s="604">
        <f>'3 Doprava a přeprava'!D87</f>
        <v>0</v>
      </c>
      <c r="F218" s="599">
        <f>'3 Doprava a přeprava'!E87</f>
        <v>0</v>
      </c>
      <c r="G218" s="599">
        <f>'3 Doprava a přeprava'!F87</f>
        <v>0</v>
      </c>
      <c r="H218" s="599">
        <f>'3 Doprava a přeprava'!G87</f>
        <v>0</v>
      </c>
      <c r="I218" s="599">
        <f>'3 Doprava a přeprava'!H87</f>
        <v>0</v>
      </c>
      <c r="J218" s="599">
        <f>'3 Doprava a přeprava'!I87</f>
        <v>0</v>
      </c>
      <c r="K218" s="599">
        <f>'3 Doprava a přeprava'!J87</f>
        <v>0</v>
      </c>
      <c r="L218" s="599">
        <f>'3 Doprava a přeprava'!K87</f>
        <v>0</v>
      </c>
      <c r="M218" s="599">
        <f>'3 Doprava a přeprava'!L87</f>
        <v>0</v>
      </c>
      <c r="N218" s="599">
        <f>'3 Doprava a přeprava'!M87</f>
        <v>0</v>
      </c>
      <c r="O218" s="599">
        <f>'3 Doprava a přeprava'!N87</f>
        <v>0</v>
      </c>
      <c r="P218" s="599">
        <f>'3 Doprava a přeprava'!O87</f>
        <v>0</v>
      </c>
      <c r="Q218" s="599">
        <f>'3 Doprava a přeprava'!P87</f>
        <v>0</v>
      </c>
      <c r="R218" s="599">
        <f>'3 Doprava a přeprava'!Q87</f>
        <v>0</v>
      </c>
      <c r="S218" s="600">
        <f>'3 Doprava a přeprava'!R87</f>
        <v>0</v>
      </c>
      <c r="T218" s="477"/>
      <c r="U218" s="236"/>
      <c r="V218" s="236"/>
      <c r="W218" s="236"/>
      <c r="X218" s="236"/>
      <c r="Y218" s="236"/>
      <c r="Z218" s="236"/>
      <c r="AA218" s="236"/>
      <c r="AB218" s="236"/>
      <c r="AC218" s="236"/>
    </row>
    <row r="219" spans="1:29" s="289" customFormat="1" ht="12.75" hidden="1" customHeight="1" x14ac:dyDescent="0.3">
      <c r="A219" s="287"/>
      <c r="B219" s="2139" t="str">
        <f>B205</f>
        <v>Trolejbus</v>
      </c>
      <c r="C219" s="605">
        <f t="shared" si="134"/>
        <v>0</v>
      </c>
      <c r="D219" s="580"/>
      <c r="E219" s="606">
        <f>'3 Doprava a přeprava'!D88</f>
        <v>0</v>
      </c>
      <c r="F219" s="597">
        <f>'3 Doprava a přeprava'!E88</f>
        <v>0</v>
      </c>
      <c r="G219" s="597">
        <f>'3 Doprava a přeprava'!F88</f>
        <v>0</v>
      </c>
      <c r="H219" s="597">
        <f>'3 Doprava a přeprava'!G88</f>
        <v>0</v>
      </c>
      <c r="I219" s="597">
        <f>'3 Doprava a přeprava'!H88</f>
        <v>0</v>
      </c>
      <c r="J219" s="597">
        <f>'3 Doprava a přeprava'!I88</f>
        <v>0</v>
      </c>
      <c r="K219" s="597">
        <f>'3 Doprava a přeprava'!J88</f>
        <v>0</v>
      </c>
      <c r="L219" s="597">
        <f>'3 Doprava a přeprava'!K88</f>
        <v>0</v>
      </c>
      <c r="M219" s="597">
        <f>'3 Doprava a přeprava'!L88</f>
        <v>0</v>
      </c>
      <c r="N219" s="597">
        <f>'3 Doprava a přeprava'!M88</f>
        <v>0</v>
      </c>
      <c r="O219" s="597">
        <f>'3 Doprava a přeprava'!N88</f>
        <v>0</v>
      </c>
      <c r="P219" s="597">
        <f>'3 Doprava a přeprava'!O88</f>
        <v>0</v>
      </c>
      <c r="Q219" s="597">
        <f>'3 Doprava a přeprava'!P88</f>
        <v>0</v>
      </c>
      <c r="R219" s="597">
        <f>'3 Doprava a přeprava'!Q88</f>
        <v>0</v>
      </c>
      <c r="S219" s="598">
        <f>'3 Doprava a přeprava'!R88</f>
        <v>0</v>
      </c>
      <c r="T219" s="479"/>
      <c r="U219" s="288"/>
      <c r="V219" s="288"/>
      <c r="W219" s="288"/>
      <c r="X219" s="288"/>
      <c r="Y219" s="288"/>
      <c r="Z219" s="288"/>
      <c r="AA219" s="288"/>
      <c r="AB219" s="288"/>
      <c r="AC219" s="288"/>
    </row>
    <row r="220" spans="1:29" s="289" customFormat="1" ht="12.75" hidden="1" customHeight="1" x14ac:dyDescent="0.3">
      <c r="A220" s="287"/>
      <c r="B220" s="2140"/>
      <c r="C220" s="607">
        <f t="shared" si="134"/>
        <v>0</v>
      </c>
      <c r="D220" s="581"/>
      <c r="E220" s="604">
        <f>'3 Doprava a přeprava'!D88</f>
        <v>0</v>
      </c>
      <c r="F220" s="599">
        <f>'3 Doprava a přeprava'!E88</f>
        <v>0</v>
      </c>
      <c r="G220" s="599">
        <f>'3 Doprava a přeprava'!F88</f>
        <v>0</v>
      </c>
      <c r="H220" s="599">
        <f>'3 Doprava a přeprava'!G88</f>
        <v>0</v>
      </c>
      <c r="I220" s="599">
        <f>'3 Doprava a přeprava'!H88</f>
        <v>0</v>
      </c>
      <c r="J220" s="599">
        <f>'3 Doprava a přeprava'!I88</f>
        <v>0</v>
      </c>
      <c r="K220" s="599">
        <f>'3 Doprava a přeprava'!J88</f>
        <v>0</v>
      </c>
      <c r="L220" s="599">
        <f>'3 Doprava a přeprava'!K88</f>
        <v>0</v>
      </c>
      <c r="M220" s="599">
        <f>'3 Doprava a přeprava'!L88</f>
        <v>0</v>
      </c>
      <c r="N220" s="599">
        <f>'3 Doprava a přeprava'!M88</f>
        <v>0</v>
      </c>
      <c r="O220" s="599">
        <f>'3 Doprava a přeprava'!N88</f>
        <v>0</v>
      </c>
      <c r="P220" s="599">
        <f>'3 Doprava a přeprava'!O88</f>
        <v>0</v>
      </c>
      <c r="Q220" s="599">
        <f>'3 Doprava a přeprava'!P88</f>
        <v>0</v>
      </c>
      <c r="R220" s="599">
        <f>'3 Doprava a přeprava'!Q88</f>
        <v>0</v>
      </c>
      <c r="S220" s="600">
        <f>'3 Doprava a přeprava'!R88</f>
        <v>0</v>
      </c>
      <c r="T220" s="479"/>
      <c r="U220" s="288"/>
      <c r="V220" s="288"/>
      <c r="W220" s="288"/>
      <c r="X220" s="288"/>
      <c r="Y220" s="288"/>
      <c r="Z220" s="288"/>
      <c r="AA220" s="288"/>
      <c r="AB220" s="288"/>
      <c r="AC220" s="288"/>
    </row>
    <row r="221" spans="1:29" ht="12.75" hidden="1" customHeight="1" x14ac:dyDescent="0.3">
      <c r="A221" s="245"/>
      <c r="B221" s="2139" t="str">
        <f>B207</f>
        <v>Tramvaj</v>
      </c>
      <c r="C221" s="603">
        <f t="shared" si="134"/>
        <v>0</v>
      </c>
      <c r="D221" s="587"/>
      <c r="E221" s="606">
        <f>'3 Doprava a přeprava'!D89</f>
        <v>0</v>
      </c>
      <c r="F221" s="597">
        <f>'3 Doprava a přeprava'!E89</f>
        <v>0</v>
      </c>
      <c r="G221" s="597">
        <f>'3 Doprava a přeprava'!F89</f>
        <v>0</v>
      </c>
      <c r="H221" s="597">
        <f>'3 Doprava a přeprava'!G89</f>
        <v>0</v>
      </c>
      <c r="I221" s="597">
        <f>'3 Doprava a přeprava'!H89</f>
        <v>0</v>
      </c>
      <c r="J221" s="597">
        <f>'3 Doprava a přeprava'!I89</f>
        <v>0</v>
      </c>
      <c r="K221" s="597">
        <f>'3 Doprava a přeprava'!J89</f>
        <v>0</v>
      </c>
      <c r="L221" s="597">
        <f>'3 Doprava a přeprava'!K89</f>
        <v>0</v>
      </c>
      <c r="M221" s="597">
        <f>'3 Doprava a přeprava'!L89</f>
        <v>0</v>
      </c>
      <c r="N221" s="597">
        <f>'3 Doprava a přeprava'!M89</f>
        <v>0</v>
      </c>
      <c r="O221" s="597">
        <f>'3 Doprava a přeprava'!N89</f>
        <v>0</v>
      </c>
      <c r="P221" s="597">
        <f>'3 Doprava a přeprava'!O89</f>
        <v>0</v>
      </c>
      <c r="Q221" s="597">
        <f>'3 Doprava a přeprava'!P89</f>
        <v>0</v>
      </c>
      <c r="R221" s="597">
        <f>'3 Doprava a přeprava'!Q89</f>
        <v>0</v>
      </c>
      <c r="S221" s="598">
        <f>'3 Doprava a přeprava'!R89</f>
        <v>0</v>
      </c>
      <c r="T221" s="477"/>
      <c r="U221" s="236"/>
      <c r="V221" s="236"/>
      <c r="W221" s="236"/>
      <c r="X221" s="236"/>
      <c r="Y221" s="236"/>
      <c r="Z221" s="236"/>
      <c r="AA221" s="236"/>
      <c r="AB221" s="236"/>
      <c r="AC221" s="236"/>
    </row>
    <row r="222" spans="1:29" ht="12.75" hidden="1" customHeight="1" x14ac:dyDescent="0.3">
      <c r="A222" s="245"/>
      <c r="B222" s="2140"/>
      <c r="C222" s="603">
        <f t="shared" si="134"/>
        <v>0</v>
      </c>
      <c r="D222" s="587"/>
      <c r="E222" s="604">
        <f>'3 Doprava a přeprava'!D89</f>
        <v>0</v>
      </c>
      <c r="F222" s="599">
        <f>'3 Doprava a přeprava'!E89</f>
        <v>0</v>
      </c>
      <c r="G222" s="599">
        <f>'3 Doprava a přeprava'!F89</f>
        <v>0</v>
      </c>
      <c r="H222" s="599">
        <f>'3 Doprava a přeprava'!G89</f>
        <v>0</v>
      </c>
      <c r="I222" s="599">
        <f>'3 Doprava a přeprava'!H89</f>
        <v>0</v>
      </c>
      <c r="J222" s="599">
        <f>'3 Doprava a přeprava'!I89</f>
        <v>0</v>
      </c>
      <c r="K222" s="599">
        <f>'3 Doprava a přeprava'!J89</f>
        <v>0</v>
      </c>
      <c r="L222" s="599">
        <f>'3 Doprava a přeprava'!K89</f>
        <v>0</v>
      </c>
      <c r="M222" s="599">
        <f>'3 Doprava a přeprava'!L89</f>
        <v>0</v>
      </c>
      <c r="N222" s="599">
        <f>'3 Doprava a přeprava'!M89</f>
        <v>0</v>
      </c>
      <c r="O222" s="599">
        <f>'3 Doprava a přeprava'!N89</f>
        <v>0</v>
      </c>
      <c r="P222" s="599">
        <f>'3 Doprava a přeprava'!O89</f>
        <v>0</v>
      </c>
      <c r="Q222" s="599">
        <f>'3 Doprava a přeprava'!P89</f>
        <v>0</v>
      </c>
      <c r="R222" s="599">
        <f>'3 Doprava a přeprava'!Q89</f>
        <v>0</v>
      </c>
      <c r="S222" s="600">
        <f>'3 Doprava a přeprava'!R89</f>
        <v>0</v>
      </c>
      <c r="T222" s="477"/>
      <c r="U222" s="236"/>
      <c r="V222" s="236"/>
      <c r="W222" s="236"/>
      <c r="X222" s="236"/>
      <c r="Y222" s="236"/>
      <c r="Z222" s="236"/>
      <c r="AA222" s="236"/>
      <c r="AB222" s="236"/>
      <c r="AC222" s="236"/>
    </row>
    <row r="223" spans="1:29" s="289" customFormat="1" ht="12.75" hidden="1" customHeight="1" x14ac:dyDescent="0.3">
      <c r="A223" s="287"/>
      <c r="B223" s="2141" t="str">
        <f>B209</f>
        <v>Metro</v>
      </c>
      <c r="C223" s="605">
        <f t="shared" si="134"/>
        <v>0</v>
      </c>
      <c r="D223" s="588"/>
      <c r="E223" s="606">
        <f>'3 Doprava a přeprava'!D90</f>
        <v>0</v>
      </c>
      <c r="F223" s="597">
        <f>'3 Doprava a přeprava'!E90</f>
        <v>0</v>
      </c>
      <c r="G223" s="597">
        <f>'3 Doprava a přeprava'!F90</f>
        <v>0</v>
      </c>
      <c r="H223" s="597">
        <f>'3 Doprava a přeprava'!G90</f>
        <v>0</v>
      </c>
      <c r="I223" s="597">
        <f>'3 Doprava a přeprava'!H90</f>
        <v>0</v>
      </c>
      <c r="J223" s="597">
        <f>'3 Doprava a přeprava'!I90</f>
        <v>0</v>
      </c>
      <c r="K223" s="597">
        <f>'3 Doprava a přeprava'!J90</f>
        <v>0</v>
      </c>
      <c r="L223" s="597">
        <f>'3 Doprava a přeprava'!K90</f>
        <v>0</v>
      </c>
      <c r="M223" s="597">
        <f>'3 Doprava a přeprava'!L90</f>
        <v>0</v>
      </c>
      <c r="N223" s="597">
        <f>'3 Doprava a přeprava'!M90</f>
        <v>0</v>
      </c>
      <c r="O223" s="597">
        <f>'3 Doprava a přeprava'!N90</f>
        <v>0</v>
      </c>
      <c r="P223" s="597">
        <f>'3 Doprava a přeprava'!O90</f>
        <v>0</v>
      </c>
      <c r="Q223" s="597">
        <f>'3 Doprava a přeprava'!P90</f>
        <v>0</v>
      </c>
      <c r="R223" s="597">
        <f>'3 Doprava a přeprava'!Q90</f>
        <v>0</v>
      </c>
      <c r="S223" s="598">
        <f>'3 Doprava a přeprava'!R90</f>
        <v>0</v>
      </c>
      <c r="T223" s="479"/>
      <c r="U223" s="288"/>
      <c r="V223" s="288"/>
      <c r="W223" s="288"/>
      <c r="X223" s="288"/>
      <c r="Y223" s="288"/>
      <c r="Z223" s="288"/>
      <c r="AA223" s="288"/>
      <c r="AB223" s="288"/>
      <c r="AC223" s="288"/>
    </row>
    <row r="224" spans="1:29" s="289" customFormat="1" ht="12.75" hidden="1" customHeight="1" x14ac:dyDescent="0.3">
      <c r="A224" s="287"/>
      <c r="B224" s="2140"/>
      <c r="C224" s="607">
        <f t="shared" si="134"/>
        <v>0</v>
      </c>
      <c r="D224" s="589"/>
      <c r="E224" s="604">
        <f>'3 Doprava a přeprava'!D90</f>
        <v>0</v>
      </c>
      <c r="F224" s="599">
        <f>'3 Doprava a přeprava'!E90</f>
        <v>0</v>
      </c>
      <c r="G224" s="599">
        <f>'3 Doprava a přeprava'!F90</f>
        <v>0</v>
      </c>
      <c r="H224" s="599">
        <f>'3 Doprava a přeprava'!G90</f>
        <v>0</v>
      </c>
      <c r="I224" s="599">
        <f>'3 Doprava a přeprava'!H90</f>
        <v>0</v>
      </c>
      <c r="J224" s="599">
        <f>'3 Doprava a přeprava'!I90</f>
        <v>0</v>
      </c>
      <c r="K224" s="599">
        <f>'3 Doprava a přeprava'!J90</f>
        <v>0</v>
      </c>
      <c r="L224" s="599">
        <f>'3 Doprava a přeprava'!K90</f>
        <v>0</v>
      </c>
      <c r="M224" s="599">
        <f>'3 Doprava a přeprava'!L90</f>
        <v>0</v>
      </c>
      <c r="N224" s="599">
        <f>'3 Doprava a přeprava'!M90</f>
        <v>0</v>
      </c>
      <c r="O224" s="599">
        <f>'3 Doprava a přeprava'!N90</f>
        <v>0</v>
      </c>
      <c r="P224" s="599">
        <f>'3 Doprava a přeprava'!O90</f>
        <v>0</v>
      </c>
      <c r="Q224" s="599">
        <f>'3 Doprava a přeprava'!P90</f>
        <v>0</v>
      </c>
      <c r="R224" s="599">
        <f>'3 Doprava a přeprava'!Q90</f>
        <v>0</v>
      </c>
      <c r="S224" s="600">
        <f>'3 Doprava a přeprava'!R90</f>
        <v>0</v>
      </c>
      <c r="T224" s="479"/>
      <c r="U224" s="288"/>
      <c r="V224" s="288"/>
      <c r="W224" s="288"/>
      <c r="X224" s="288"/>
      <c r="Y224" s="288"/>
      <c r="Z224" s="288"/>
      <c r="AA224" s="288"/>
      <c r="AB224" s="288"/>
      <c r="AC224" s="288"/>
    </row>
    <row r="225" spans="1:29" s="289" customFormat="1" ht="12.75" hidden="1" customHeight="1" x14ac:dyDescent="0.3">
      <c r="A225" s="287"/>
      <c r="B225" s="2139" t="str">
        <f>B211</f>
        <v>IAD</v>
      </c>
      <c r="C225" s="605">
        <f t="shared" si="134"/>
        <v>0</v>
      </c>
      <c r="D225" s="580"/>
      <c r="E225" s="595">
        <f>'3 Doprava a přeprava'!D91</f>
        <v>0</v>
      </c>
      <c r="F225" s="595">
        <f>'3 Doprava a přeprava'!E91</f>
        <v>0</v>
      </c>
      <c r="G225" s="595">
        <f>'3 Doprava a přeprava'!F91</f>
        <v>0</v>
      </c>
      <c r="H225" s="595">
        <f>'3 Doprava a přeprava'!G91</f>
        <v>0</v>
      </c>
      <c r="I225" s="595">
        <f>'3 Doprava a přeprava'!H91</f>
        <v>0</v>
      </c>
      <c r="J225" s="595">
        <f>'3 Doprava a přeprava'!I91</f>
        <v>0</v>
      </c>
      <c r="K225" s="595">
        <f>'3 Doprava a přeprava'!J91</f>
        <v>0</v>
      </c>
      <c r="L225" s="595">
        <f>'3 Doprava a přeprava'!K91</f>
        <v>0</v>
      </c>
      <c r="M225" s="595">
        <f>'3 Doprava a přeprava'!L91</f>
        <v>0</v>
      </c>
      <c r="N225" s="595">
        <f>'3 Doprava a přeprava'!M91</f>
        <v>0</v>
      </c>
      <c r="O225" s="595">
        <f>'3 Doprava a přeprava'!N91</f>
        <v>0</v>
      </c>
      <c r="P225" s="595">
        <f>'3 Doprava a přeprava'!O91</f>
        <v>0</v>
      </c>
      <c r="Q225" s="595">
        <f>'3 Doprava a přeprava'!P91</f>
        <v>0</v>
      </c>
      <c r="R225" s="595">
        <f>'3 Doprava a přeprava'!Q91</f>
        <v>0</v>
      </c>
      <c r="S225" s="596">
        <f>'3 Doprava a přeprava'!R91</f>
        <v>0</v>
      </c>
      <c r="T225" s="479"/>
      <c r="U225" s="288"/>
      <c r="V225" s="288"/>
      <c r="W225" s="288"/>
      <c r="X225" s="288"/>
      <c r="Y225" s="288"/>
      <c r="Z225" s="288"/>
      <c r="AA225" s="288"/>
      <c r="AB225" s="288"/>
      <c r="AC225" s="288"/>
    </row>
    <row r="226" spans="1:29" s="289" customFormat="1" ht="12.75" hidden="1" customHeight="1" x14ac:dyDescent="0.3">
      <c r="A226" s="287"/>
      <c r="B226" s="2140"/>
      <c r="C226" s="607">
        <f t="shared" si="134"/>
        <v>0</v>
      </c>
      <c r="D226" s="581"/>
      <c r="E226" s="595">
        <f>'3 Doprava a přeprava'!D91</f>
        <v>0</v>
      </c>
      <c r="F226" s="595">
        <f>'3 Doprava a přeprava'!E91</f>
        <v>0</v>
      </c>
      <c r="G226" s="595">
        <f>'3 Doprava a přeprava'!F91</f>
        <v>0</v>
      </c>
      <c r="H226" s="595">
        <f>'3 Doprava a přeprava'!G91</f>
        <v>0</v>
      </c>
      <c r="I226" s="595">
        <f>'3 Doprava a přeprava'!H91</f>
        <v>0</v>
      </c>
      <c r="J226" s="595">
        <f>'3 Doprava a přeprava'!I91</f>
        <v>0</v>
      </c>
      <c r="K226" s="595">
        <f>'3 Doprava a přeprava'!J91</f>
        <v>0</v>
      </c>
      <c r="L226" s="595">
        <f>'3 Doprava a přeprava'!K91</f>
        <v>0</v>
      </c>
      <c r="M226" s="595">
        <f>'3 Doprava a přeprava'!L91</f>
        <v>0</v>
      </c>
      <c r="N226" s="595">
        <f>'3 Doprava a přeprava'!M91</f>
        <v>0</v>
      </c>
      <c r="O226" s="595">
        <f>'3 Doprava a přeprava'!N91</f>
        <v>0</v>
      </c>
      <c r="P226" s="595">
        <f>'3 Doprava a přeprava'!O91</f>
        <v>0</v>
      </c>
      <c r="Q226" s="595">
        <f>'3 Doprava a přeprava'!P91</f>
        <v>0</v>
      </c>
      <c r="R226" s="595">
        <f>'3 Doprava a přeprava'!Q91</f>
        <v>0</v>
      </c>
      <c r="S226" s="596">
        <f>'3 Doprava a přeprava'!R91</f>
        <v>0</v>
      </c>
      <c r="T226" s="479"/>
      <c r="U226" s="288"/>
      <c r="V226" s="288"/>
      <c r="W226" s="288"/>
      <c r="X226" s="288"/>
      <c r="Y226" s="288"/>
      <c r="Z226" s="288"/>
      <c r="AA226" s="288"/>
      <c r="AB226" s="288"/>
      <c r="AC226" s="288"/>
    </row>
    <row r="227" spans="1:29" ht="12.75" hidden="1" customHeight="1" thickBot="1" x14ac:dyDescent="0.35">
      <c r="A227" s="252"/>
      <c r="B227" s="242"/>
      <c r="C227" s="243">
        <f t="shared" si="134"/>
        <v>0</v>
      </c>
      <c r="D227" s="548"/>
      <c r="E227" s="483"/>
      <c r="F227" s="484"/>
      <c r="G227" s="484"/>
      <c r="H227" s="484"/>
      <c r="I227" s="484"/>
      <c r="J227" s="484"/>
      <c r="K227" s="484"/>
      <c r="L227" s="484"/>
      <c r="M227" s="484"/>
      <c r="N227" s="484"/>
      <c r="O227" s="484"/>
      <c r="P227" s="484"/>
      <c r="Q227" s="484"/>
      <c r="R227" s="484"/>
      <c r="S227" s="485"/>
      <c r="T227" s="237"/>
      <c r="U227" s="237"/>
      <c r="V227" s="237"/>
      <c r="W227" s="237"/>
      <c r="X227" s="237"/>
      <c r="Y227" s="237"/>
      <c r="Z227" s="237"/>
      <c r="AA227" s="237"/>
      <c r="AB227" s="237"/>
      <c r="AC227" s="237"/>
    </row>
    <row r="228" spans="1:29" ht="12.75" hidden="1" customHeight="1" x14ac:dyDescent="0.3">
      <c r="A228" s="252"/>
      <c r="B228" s="253"/>
      <c r="C228" s="252"/>
      <c r="D228" s="236"/>
      <c r="E228" s="237"/>
      <c r="F228" s="237"/>
      <c r="G228" s="237"/>
      <c r="H228" s="237"/>
      <c r="I228" s="237"/>
      <c r="J228" s="237"/>
      <c r="K228" s="237"/>
      <c r="L228" s="237"/>
      <c r="M228" s="237"/>
      <c r="N228" s="237"/>
      <c r="O228" s="237"/>
      <c r="P228" s="237"/>
      <c r="Q228" s="237"/>
      <c r="R228" s="237"/>
      <c r="S228" s="237"/>
      <c r="T228" s="237"/>
      <c r="U228" s="237"/>
      <c r="V228" s="237"/>
      <c r="W228" s="237"/>
      <c r="X228" s="237"/>
      <c r="Y228" s="237"/>
      <c r="Z228" s="237"/>
      <c r="AA228" s="237"/>
      <c r="AB228" s="237"/>
      <c r="AC228" s="237"/>
    </row>
    <row r="229" spans="1:29" hidden="1" x14ac:dyDescent="0.3"/>
  </sheetData>
  <mergeCells count="271">
    <mergeCell ref="B221:B222"/>
    <mergeCell ref="B223:B224"/>
    <mergeCell ref="B225:B226"/>
    <mergeCell ref="I215:I216"/>
    <mergeCell ref="J215:J216"/>
    <mergeCell ref="K215:K216"/>
    <mergeCell ref="L215:L216"/>
    <mergeCell ref="M215:M216"/>
    <mergeCell ref="N215:N216"/>
    <mergeCell ref="B211:B212"/>
    <mergeCell ref="E215:E216"/>
    <mergeCell ref="F215:F216"/>
    <mergeCell ref="G215:G216"/>
    <mergeCell ref="H215:H216"/>
    <mergeCell ref="R215:R216"/>
    <mergeCell ref="S215:S216"/>
    <mergeCell ref="B217:B218"/>
    <mergeCell ref="B219:B220"/>
    <mergeCell ref="O215:O216"/>
    <mergeCell ref="P215:P216"/>
    <mergeCell ref="Q215:Q216"/>
    <mergeCell ref="M201:M202"/>
    <mergeCell ref="N201:N202"/>
    <mergeCell ref="O201:O202"/>
    <mergeCell ref="P201:P202"/>
    <mergeCell ref="Q201:Q202"/>
    <mergeCell ref="B189:B190"/>
    <mergeCell ref="B191:B192"/>
    <mergeCell ref="B193:B194"/>
    <mergeCell ref="B195:B196"/>
    <mergeCell ref="B197:B198"/>
    <mergeCell ref="E201:E202"/>
    <mergeCell ref="F201:F202"/>
    <mergeCell ref="B203:B204"/>
    <mergeCell ref="B205:B206"/>
    <mergeCell ref="B207:B208"/>
    <mergeCell ref="B209:B210"/>
    <mergeCell ref="I201:I202"/>
    <mergeCell ref="J201:J202"/>
    <mergeCell ref="K201:K202"/>
    <mergeCell ref="L201:L202"/>
    <mergeCell ref="G201:G202"/>
    <mergeCell ref="H201:H202"/>
    <mergeCell ref="Q173:Q174"/>
    <mergeCell ref="R173:R174"/>
    <mergeCell ref="S173:S174"/>
    <mergeCell ref="B175:B176"/>
    <mergeCell ref="M187:M188"/>
    <mergeCell ref="N187:N188"/>
    <mergeCell ref="O187:O188"/>
    <mergeCell ref="P187:P188"/>
    <mergeCell ref="Q187:Q188"/>
    <mergeCell ref="R187:R188"/>
    <mergeCell ref="B177:B178"/>
    <mergeCell ref="B179:B180"/>
    <mergeCell ref="B181:B182"/>
    <mergeCell ref="B183:B184"/>
    <mergeCell ref="E187:E188"/>
    <mergeCell ref="F187:F188"/>
    <mergeCell ref="G187:G188"/>
    <mergeCell ref="H187:H188"/>
    <mergeCell ref="I187:I188"/>
    <mergeCell ref="S187:S188"/>
    <mergeCell ref="J187:J188"/>
    <mergeCell ref="K187:K188"/>
    <mergeCell ref="L187:L188"/>
    <mergeCell ref="R201:R202"/>
    <mergeCell ref="S201:S202"/>
    <mergeCell ref="B148:B149"/>
    <mergeCell ref="E173:E174"/>
    <mergeCell ref="F173:F174"/>
    <mergeCell ref="G173:G174"/>
    <mergeCell ref="H173:H174"/>
    <mergeCell ref="I173:I174"/>
    <mergeCell ref="J173:J174"/>
    <mergeCell ref="K173:K174"/>
    <mergeCell ref="L173:L174"/>
    <mergeCell ref="M173:M174"/>
    <mergeCell ref="N173:N174"/>
    <mergeCell ref="O173:O174"/>
    <mergeCell ref="P173:P174"/>
    <mergeCell ref="Q152:Q153"/>
    <mergeCell ref="R152:R153"/>
    <mergeCell ref="S152:S153"/>
    <mergeCell ref="E157:E158"/>
    <mergeCell ref="F157:F158"/>
    <mergeCell ref="G157:G158"/>
    <mergeCell ref="H157:H158"/>
    <mergeCell ref="I157:I158"/>
    <mergeCell ref="J157:J158"/>
    <mergeCell ref="B140:B141"/>
    <mergeCell ref="B142:B143"/>
    <mergeCell ref="B144:B145"/>
    <mergeCell ref="B146:B147"/>
    <mergeCell ref="B163:S164"/>
    <mergeCell ref="L152:L153"/>
    <mergeCell ref="M152:M153"/>
    <mergeCell ref="N152:N153"/>
    <mergeCell ref="O152:O153"/>
    <mergeCell ref="Q157:Q158"/>
    <mergeCell ref="R157:R158"/>
    <mergeCell ref="S157:S158"/>
    <mergeCell ref="E152:E153"/>
    <mergeCell ref="F152:F153"/>
    <mergeCell ref="G152:G153"/>
    <mergeCell ref="H152:H153"/>
    <mergeCell ref="I152:I153"/>
    <mergeCell ref="P152:P153"/>
    <mergeCell ref="K157:K158"/>
    <mergeCell ref="L157:L158"/>
    <mergeCell ref="M157:M158"/>
    <mergeCell ref="N157:N158"/>
    <mergeCell ref="O157:O158"/>
    <mergeCell ref="P157:P158"/>
    <mergeCell ref="Q2:Q3"/>
    <mergeCell ref="R2:R3"/>
    <mergeCell ref="S2:S3"/>
    <mergeCell ref="B4:B5"/>
    <mergeCell ref="B6:B7"/>
    <mergeCell ref="K2:K3"/>
    <mergeCell ref="L2:L3"/>
    <mergeCell ref="M2:M3"/>
    <mergeCell ref="N2:N3"/>
    <mergeCell ref="O2:O3"/>
    <mergeCell ref="P2:P3"/>
    <mergeCell ref="E2:E3"/>
    <mergeCell ref="F2:F3"/>
    <mergeCell ref="G2:G3"/>
    <mergeCell ref="H2:H3"/>
    <mergeCell ref="I2:I3"/>
    <mergeCell ref="J2:J3"/>
    <mergeCell ref="B8:B9"/>
    <mergeCell ref="B10:B11"/>
    <mergeCell ref="B20:B21"/>
    <mergeCell ref="B12:B13"/>
    <mergeCell ref="P16:P17"/>
    <mergeCell ref="Q16:Q17"/>
    <mergeCell ref="R16:R17"/>
    <mergeCell ref="R30:R31"/>
    <mergeCell ref="O30:O31"/>
    <mergeCell ref="P30:P31"/>
    <mergeCell ref="Q30:Q31"/>
    <mergeCell ref="E30:E31"/>
    <mergeCell ref="F30:F31"/>
    <mergeCell ref="G30:G31"/>
    <mergeCell ref="H30:H31"/>
    <mergeCell ref="S16:S17"/>
    <mergeCell ref="B18:B19"/>
    <mergeCell ref="B26:B27"/>
    <mergeCell ref="J16:J17"/>
    <mergeCell ref="K16:K17"/>
    <mergeCell ref="L16:L17"/>
    <mergeCell ref="M16:M17"/>
    <mergeCell ref="N16:N17"/>
    <mergeCell ref="O16:O17"/>
    <mergeCell ref="E16:E17"/>
    <mergeCell ref="F16:F17"/>
    <mergeCell ref="G16:G17"/>
    <mergeCell ref="H16:H17"/>
    <mergeCell ref="I16:I17"/>
    <mergeCell ref="B22:B23"/>
    <mergeCell ref="B24:B25"/>
    <mergeCell ref="J44:J45"/>
    <mergeCell ref="K44:K45"/>
    <mergeCell ref="L44:L45"/>
    <mergeCell ref="M44:M45"/>
    <mergeCell ref="N44:N45"/>
    <mergeCell ref="S30:S31"/>
    <mergeCell ref="I30:I31"/>
    <mergeCell ref="J30:J31"/>
    <mergeCell ref="K30:K31"/>
    <mergeCell ref="L30:L31"/>
    <mergeCell ref="M30:M31"/>
    <mergeCell ref="N30:N31"/>
    <mergeCell ref="R44:R45"/>
    <mergeCell ref="S44:S45"/>
    <mergeCell ref="O44:O45"/>
    <mergeCell ref="E44:E45"/>
    <mergeCell ref="F44:F45"/>
    <mergeCell ref="G44:G45"/>
    <mergeCell ref="H44:H45"/>
    <mergeCell ref="I44:I45"/>
    <mergeCell ref="Q58:Q59"/>
    <mergeCell ref="R58:R59"/>
    <mergeCell ref="S58:S59"/>
    <mergeCell ref="B60:B61"/>
    <mergeCell ref="O58:O59"/>
    <mergeCell ref="P58:P59"/>
    <mergeCell ref="B48:B49"/>
    <mergeCell ref="B50:B51"/>
    <mergeCell ref="B52:B53"/>
    <mergeCell ref="B54:B55"/>
    <mergeCell ref="P44:P45"/>
    <mergeCell ref="Q44:Q45"/>
    <mergeCell ref="K58:K59"/>
    <mergeCell ref="L58:L59"/>
    <mergeCell ref="M58:M59"/>
    <mergeCell ref="N58:N59"/>
    <mergeCell ref="E58:E59"/>
    <mergeCell ref="F58:F59"/>
    <mergeCell ref="G58:G59"/>
    <mergeCell ref="I107:I108"/>
    <mergeCell ref="H58:H59"/>
    <mergeCell ref="I58:I59"/>
    <mergeCell ref="J58:J59"/>
    <mergeCell ref="P64:P65"/>
    <mergeCell ref="Q64:Q65"/>
    <mergeCell ref="R64:R65"/>
    <mergeCell ref="S64:S65"/>
    <mergeCell ref="B66:B67"/>
    <mergeCell ref="J64:J65"/>
    <mergeCell ref="K64:K65"/>
    <mergeCell ref="L64:L65"/>
    <mergeCell ref="M64:M65"/>
    <mergeCell ref="N64:N65"/>
    <mergeCell ref="O64:O65"/>
    <mergeCell ref="E64:E65"/>
    <mergeCell ref="F64:F65"/>
    <mergeCell ref="G64:G65"/>
    <mergeCell ref="H64:H65"/>
    <mergeCell ref="I64:I65"/>
    <mergeCell ref="H86:L86"/>
    <mergeCell ref="H87:H96"/>
    <mergeCell ref="G131:G133"/>
    <mergeCell ref="J152:J153"/>
    <mergeCell ref="K152:K153"/>
    <mergeCell ref="B86:B96"/>
    <mergeCell ref="D78:E78"/>
    <mergeCell ref="F78:F79"/>
    <mergeCell ref="B77:B83"/>
    <mergeCell ref="C77:F77"/>
    <mergeCell ref="C86:F86"/>
    <mergeCell ref="E87:F87"/>
    <mergeCell ref="C87:C88"/>
    <mergeCell ref="C89:C92"/>
    <mergeCell ref="F80:F82"/>
    <mergeCell ref="J131:J133"/>
    <mergeCell ref="I101:I102"/>
    <mergeCell ref="D103:I103"/>
    <mergeCell ref="C100:I100"/>
    <mergeCell ref="C93:C96"/>
    <mergeCell ref="D106:I106"/>
    <mergeCell ref="J124:J125"/>
    <mergeCell ref="C123:J123"/>
    <mergeCell ref="D126:J126"/>
    <mergeCell ref="D130:J130"/>
    <mergeCell ref="I104:I105"/>
    <mergeCell ref="J127:J129"/>
    <mergeCell ref="B32:B33"/>
    <mergeCell ref="B34:B35"/>
    <mergeCell ref="B36:B37"/>
    <mergeCell ref="B38:B39"/>
    <mergeCell ref="B40:B41"/>
    <mergeCell ref="B46:B47"/>
    <mergeCell ref="B100:B108"/>
    <mergeCell ref="B123:B133"/>
    <mergeCell ref="D124:I124"/>
    <mergeCell ref="D127:D129"/>
    <mergeCell ref="E127:E129"/>
    <mergeCell ref="F127:F129"/>
    <mergeCell ref="G127:G129"/>
    <mergeCell ref="D131:D133"/>
    <mergeCell ref="E131:E133"/>
    <mergeCell ref="F131:F133"/>
    <mergeCell ref="B111:B119"/>
    <mergeCell ref="C111:F111"/>
    <mergeCell ref="C112:C113"/>
    <mergeCell ref="E112:F112"/>
    <mergeCell ref="C114:C116"/>
    <mergeCell ref="C117:C119"/>
    <mergeCell ref="D101:H101"/>
  </mergeCells>
  <printOptions horizontalCentered="1"/>
  <pageMargins left="0.19685039370078741" right="0.15748031496062992" top="0.59055118110236227" bottom="0.59055118110236227" header="0.39370078740157483" footer="0.39370078740157483"/>
  <pageSetup paperSize="9" scale="55" orientation="landscape" r:id="rId1"/>
  <headerFooter alignWithMargins="0">
    <oddFooter>&amp;L&amp;A &amp;P/2&amp;C&amp;D</oddFooter>
  </headerFooter>
  <ignoredErrors>
    <ignoredError sqref="C31 C12" formula="1"/>
  </ignoredError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DE621-E243-45DE-A892-B73625F178D8}">
  <sheetPr codeName="List30">
    <pageSetUpPr fitToPage="1"/>
  </sheetPr>
  <dimension ref="A1:AK248"/>
  <sheetViews>
    <sheetView defaultGridColor="0" topLeftCell="C112" colorId="23" zoomScaleNormal="100" workbookViewId="0">
      <selection activeCell="C158" sqref="C158"/>
    </sheetView>
  </sheetViews>
  <sheetFormatPr defaultColWidth="9.140625" defaultRowHeight="13.5" x14ac:dyDescent="0.3"/>
  <cols>
    <col min="1" max="1" width="2.42578125" style="276" customWidth="1"/>
    <col min="2" max="2" width="10.5703125" style="276" customWidth="1"/>
    <col min="3" max="3" width="42.140625" style="276" customWidth="1"/>
    <col min="4" max="4" width="20.28515625" style="276" customWidth="1"/>
    <col min="5" max="19" width="12.7109375" style="276" customWidth="1"/>
    <col min="20" max="20" width="10.5703125" style="276" customWidth="1"/>
    <col min="21" max="21" width="12" style="276" customWidth="1"/>
    <col min="22" max="22" width="12.7109375" style="276" customWidth="1"/>
    <col min="23" max="29" width="10.5703125" style="276" customWidth="1"/>
    <col min="30" max="34" width="7.140625" style="276" customWidth="1"/>
    <col min="35" max="16384" width="9.140625" style="276"/>
  </cols>
  <sheetData>
    <row r="1" spans="2:28" ht="14.25" thickBot="1" x14ac:dyDescent="0.35"/>
    <row r="2" spans="2:28" s="227" customFormat="1" ht="14.25" x14ac:dyDescent="0.3">
      <c r="B2" s="1337" t="s">
        <v>1465</v>
      </c>
      <c r="C2" s="913" t="s">
        <v>1484</v>
      </c>
      <c r="D2" s="914"/>
      <c r="E2" s="1846">
        <f>'0 Úvod'!G18</f>
        <v>2026</v>
      </c>
      <c r="F2" s="1846">
        <f t="shared" ref="F2:S2" si="0">E2+1</f>
        <v>2027</v>
      </c>
      <c r="G2" s="1846">
        <f t="shared" si="0"/>
        <v>2028</v>
      </c>
      <c r="H2" s="1846">
        <f t="shared" si="0"/>
        <v>2029</v>
      </c>
      <c r="I2" s="1846">
        <f t="shared" si="0"/>
        <v>2030</v>
      </c>
      <c r="J2" s="1846">
        <f t="shared" si="0"/>
        <v>2031</v>
      </c>
      <c r="K2" s="1846">
        <f t="shared" si="0"/>
        <v>2032</v>
      </c>
      <c r="L2" s="1846">
        <f t="shared" si="0"/>
        <v>2033</v>
      </c>
      <c r="M2" s="1846">
        <f t="shared" si="0"/>
        <v>2034</v>
      </c>
      <c r="N2" s="1846">
        <f t="shared" si="0"/>
        <v>2035</v>
      </c>
      <c r="O2" s="1846">
        <f t="shared" si="0"/>
        <v>2036</v>
      </c>
      <c r="P2" s="1846">
        <f t="shared" si="0"/>
        <v>2037</v>
      </c>
      <c r="Q2" s="1846">
        <f t="shared" si="0"/>
        <v>2038</v>
      </c>
      <c r="R2" s="1846">
        <f t="shared" si="0"/>
        <v>2039</v>
      </c>
      <c r="S2" s="1852">
        <f t="shared" si="0"/>
        <v>2040</v>
      </c>
      <c r="T2" s="228"/>
      <c r="U2" s="228"/>
      <c r="V2" s="228"/>
      <c r="W2" s="228"/>
      <c r="X2" s="228"/>
      <c r="Y2" s="228"/>
      <c r="Z2" s="228"/>
      <c r="AA2" s="228"/>
      <c r="AB2" s="228"/>
    </row>
    <row r="3" spans="2:28" s="227" customFormat="1" ht="15" thickBot="1" x14ac:dyDescent="0.35">
      <c r="B3" s="775" t="s">
        <v>4</v>
      </c>
      <c r="C3" s="785" t="s">
        <v>1412</v>
      </c>
      <c r="D3" s="915" t="s">
        <v>1415</v>
      </c>
      <c r="E3" s="1847"/>
      <c r="F3" s="1847"/>
      <c r="G3" s="1847"/>
      <c r="H3" s="1847"/>
      <c r="I3" s="1847"/>
      <c r="J3" s="1847"/>
      <c r="K3" s="1847"/>
      <c r="L3" s="1847"/>
      <c r="M3" s="1847"/>
      <c r="N3" s="1847"/>
      <c r="O3" s="1847"/>
      <c r="P3" s="1847"/>
      <c r="Q3" s="1847"/>
      <c r="R3" s="1847"/>
      <c r="S3" s="1853"/>
      <c r="T3" s="228"/>
      <c r="U3" s="228"/>
      <c r="V3" s="228"/>
      <c r="W3" s="228"/>
      <c r="X3" s="228"/>
      <c r="Y3" s="228"/>
      <c r="Z3" s="228"/>
      <c r="AA3" s="228"/>
      <c r="AB3" s="228"/>
    </row>
    <row r="4" spans="2:28" s="227" customFormat="1" ht="14.25" x14ac:dyDescent="0.3">
      <c r="B4" s="1338"/>
      <c r="C4" s="136" t="s">
        <v>1493</v>
      </c>
      <c r="D4" s="916"/>
      <c r="E4" s="1339">
        <v>1</v>
      </c>
      <c r="F4" s="1340">
        <v>1</v>
      </c>
      <c r="G4" s="1340">
        <v>1</v>
      </c>
      <c r="H4" s="1340">
        <v>1</v>
      </c>
      <c r="I4" s="1340">
        <v>1</v>
      </c>
      <c r="J4" s="1340">
        <v>1</v>
      </c>
      <c r="K4" s="1340">
        <v>1</v>
      </c>
      <c r="L4" s="1340">
        <v>1</v>
      </c>
      <c r="M4" s="1340">
        <v>1</v>
      </c>
      <c r="N4" s="1340">
        <v>1</v>
      </c>
      <c r="O4" s="1340">
        <v>1</v>
      </c>
      <c r="P4" s="1340">
        <v>1</v>
      </c>
      <c r="Q4" s="1340">
        <v>1</v>
      </c>
      <c r="R4" s="1340">
        <v>1</v>
      </c>
      <c r="S4" s="1341">
        <v>1</v>
      </c>
      <c r="T4" s="228"/>
      <c r="U4" s="228"/>
      <c r="V4" s="228"/>
      <c r="W4" s="228"/>
      <c r="X4" s="228"/>
      <c r="Y4" s="228"/>
      <c r="Z4" s="228"/>
      <c r="AA4" s="228"/>
      <c r="AB4" s="228"/>
    </row>
    <row r="5" spans="2:28" s="227" customFormat="1" ht="14.25" x14ac:dyDescent="0.3">
      <c r="B5" s="1338"/>
      <c r="C5" s="136" t="s">
        <v>1485</v>
      </c>
      <c r="D5" s="917"/>
      <c r="E5" s="614"/>
      <c r="F5" s="578"/>
      <c r="G5" s="578"/>
      <c r="H5" s="578"/>
      <c r="I5" s="578"/>
      <c r="J5" s="578"/>
      <c r="K5" s="578"/>
      <c r="L5" s="578"/>
      <c r="M5" s="578"/>
      <c r="N5" s="578"/>
      <c r="O5" s="578"/>
      <c r="P5" s="578"/>
      <c r="Q5" s="578"/>
      <c r="R5" s="578"/>
      <c r="S5" s="613"/>
      <c r="T5" s="230"/>
      <c r="U5" s="228"/>
      <c r="V5" s="228"/>
      <c r="W5" s="228"/>
      <c r="X5" s="228"/>
      <c r="Y5" s="228"/>
      <c r="Z5" s="228"/>
      <c r="AA5" s="228"/>
      <c r="AB5" s="228"/>
    </row>
    <row r="6" spans="2:28" s="227" customFormat="1" ht="14.25" x14ac:dyDescent="0.3">
      <c r="B6" s="1338"/>
      <c r="C6" s="136" t="s">
        <v>1561</v>
      </c>
      <c r="D6" s="917"/>
      <c r="E6" s="614"/>
      <c r="F6" s="578"/>
      <c r="G6" s="578"/>
      <c r="H6" s="578"/>
      <c r="I6" s="578"/>
      <c r="J6" s="578"/>
      <c r="K6" s="578"/>
      <c r="L6" s="578"/>
      <c r="M6" s="578"/>
      <c r="N6" s="578"/>
      <c r="O6" s="578"/>
      <c r="P6" s="578"/>
      <c r="Q6" s="578"/>
      <c r="R6" s="578"/>
      <c r="S6" s="613"/>
      <c r="T6" s="230"/>
      <c r="U6" s="228"/>
      <c r="V6" s="228"/>
      <c r="W6" s="228"/>
      <c r="X6" s="228"/>
      <c r="Y6" s="228"/>
      <c r="Z6" s="228"/>
      <c r="AA6" s="228"/>
      <c r="AB6" s="228"/>
    </row>
    <row r="7" spans="2:28" s="227" customFormat="1" ht="14.25" x14ac:dyDescent="0.3">
      <c r="B7" s="1338"/>
      <c r="C7" s="136" t="s">
        <v>1562</v>
      </c>
      <c r="D7" s="917"/>
      <c r="E7" s="614"/>
      <c r="F7" s="578"/>
      <c r="G7" s="578"/>
      <c r="H7" s="578"/>
      <c r="I7" s="578"/>
      <c r="J7" s="578"/>
      <c r="K7" s="578"/>
      <c r="L7" s="578"/>
      <c r="M7" s="578"/>
      <c r="N7" s="578"/>
      <c r="O7" s="578"/>
      <c r="P7" s="578"/>
      <c r="Q7" s="578"/>
      <c r="R7" s="578"/>
      <c r="S7" s="613"/>
      <c r="T7" s="230"/>
      <c r="U7" s="228"/>
      <c r="V7" s="228"/>
      <c r="W7" s="228"/>
      <c r="X7" s="228"/>
      <c r="Y7" s="228"/>
      <c r="Z7" s="228"/>
      <c r="AA7" s="228"/>
      <c r="AB7" s="228"/>
    </row>
    <row r="8" spans="2:28" s="227" customFormat="1" ht="14.25" x14ac:dyDescent="0.3">
      <c r="B8" s="1338"/>
      <c r="C8" s="136" t="s">
        <v>1494</v>
      </c>
      <c r="D8" s="917"/>
      <c r="E8" s="1342">
        <v>1</v>
      </c>
      <c r="F8" s="1343">
        <v>1</v>
      </c>
      <c r="G8" s="1343">
        <v>1</v>
      </c>
      <c r="H8" s="1343">
        <v>1</v>
      </c>
      <c r="I8" s="1343">
        <v>1</v>
      </c>
      <c r="J8" s="1343">
        <v>1</v>
      </c>
      <c r="K8" s="1343">
        <v>1</v>
      </c>
      <c r="L8" s="1343">
        <v>1</v>
      </c>
      <c r="M8" s="1343">
        <v>1</v>
      </c>
      <c r="N8" s="1343">
        <v>1</v>
      </c>
      <c r="O8" s="1343">
        <v>1</v>
      </c>
      <c r="P8" s="1343">
        <v>1</v>
      </c>
      <c r="Q8" s="1343">
        <v>1</v>
      </c>
      <c r="R8" s="1343">
        <v>1</v>
      </c>
      <c r="S8" s="1344">
        <v>1</v>
      </c>
      <c r="T8" s="230"/>
      <c r="U8" s="228"/>
      <c r="V8" s="228"/>
      <c r="W8" s="228"/>
      <c r="X8" s="228"/>
      <c r="Y8" s="228"/>
      <c r="Z8" s="228"/>
      <c r="AA8" s="228"/>
      <c r="AB8" s="228"/>
    </row>
    <row r="9" spans="2:28" s="227" customFormat="1" ht="14.25" x14ac:dyDescent="0.3">
      <c r="B9" s="1338"/>
      <c r="C9" s="136" t="s">
        <v>1563</v>
      </c>
      <c r="D9" s="917">
        <f>SUM(E9:S9,E19:S19)</f>
        <v>0</v>
      </c>
      <c r="E9" s="614"/>
      <c r="F9" s="578"/>
      <c r="G9" s="578"/>
      <c r="H9" s="578"/>
      <c r="I9" s="578"/>
      <c r="J9" s="578"/>
      <c r="K9" s="578"/>
      <c r="L9" s="578"/>
      <c r="M9" s="578"/>
      <c r="N9" s="578"/>
      <c r="O9" s="578"/>
      <c r="P9" s="578"/>
      <c r="Q9" s="578"/>
      <c r="R9" s="578"/>
      <c r="S9" s="613"/>
      <c r="T9" s="230"/>
      <c r="U9" s="228"/>
      <c r="V9" s="228"/>
      <c r="W9" s="228"/>
      <c r="X9" s="228"/>
      <c r="Y9" s="228"/>
      <c r="Z9" s="228"/>
      <c r="AA9" s="228"/>
      <c r="AB9" s="228"/>
    </row>
    <row r="10" spans="2:28" s="227" customFormat="1" ht="15" thickBot="1" x14ac:dyDescent="0.35">
      <c r="B10" s="778"/>
      <c r="C10" s="779" t="str">
        <f>D3</f>
        <v xml:space="preserve">Celkem </v>
      </c>
      <c r="D10" s="928"/>
      <c r="E10" s="919"/>
      <c r="F10" s="920"/>
      <c r="G10" s="920"/>
      <c r="H10" s="920"/>
      <c r="I10" s="920"/>
      <c r="J10" s="920"/>
      <c r="K10" s="920"/>
      <c r="L10" s="920"/>
      <c r="M10" s="920"/>
      <c r="N10" s="920"/>
      <c r="O10" s="920"/>
      <c r="P10" s="920"/>
      <c r="Q10" s="920"/>
      <c r="R10" s="920"/>
      <c r="S10" s="921"/>
    </row>
    <row r="11" spans="2:28" s="227" customFormat="1" ht="14.25" thickBot="1" x14ac:dyDescent="0.35">
      <c r="B11" s="783"/>
      <c r="C11" s="769"/>
      <c r="D11" s="770"/>
      <c r="E11" s="770"/>
      <c r="F11" s="770"/>
      <c r="G11" s="770"/>
      <c r="H11" s="770"/>
      <c r="I11" s="770"/>
      <c r="J11" s="770"/>
      <c r="K11" s="770"/>
      <c r="L11" s="770"/>
      <c r="M11" s="770"/>
      <c r="N11" s="770"/>
      <c r="O11" s="770"/>
      <c r="P11" s="770"/>
      <c r="Q11" s="770"/>
      <c r="R11" s="770"/>
      <c r="S11" s="770"/>
    </row>
    <row r="12" spans="2:28" s="227" customFormat="1" ht="14.25" x14ac:dyDescent="0.3">
      <c r="B12" s="1337" t="str">
        <f>B2</f>
        <v>10.1.</v>
      </c>
      <c r="C12" s="784" t="str">
        <f>C2</f>
        <v>Měrná trakční spotřeba elektrické energie (kWh/vzkm)</v>
      </c>
      <c r="D12" s="922"/>
      <c r="E12" s="1854">
        <f>S2+1</f>
        <v>2041</v>
      </c>
      <c r="F12" s="1846">
        <f t="shared" ref="F12:S12" si="1">E12+1</f>
        <v>2042</v>
      </c>
      <c r="G12" s="1846">
        <f t="shared" si="1"/>
        <v>2043</v>
      </c>
      <c r="H12" s="1846">
        <f t="shared" si="1"/>
        <v>2044</v>
      </c>
      <c r="I12" s="1846">
        <f t="shared" si="1"/>
        <v>2045</v>
      </c>
      <c r="J12" s="1846">
        <f t="shared" si="1"/>
        <v>2046</v>
      </c>
      <c r="K12" s="1846">
        <f t="shared" si="1"/>
        <v>2047</v>
      </c>
      <c r="L12" s="1846">
        <f t="shared" si="1"/>
        <v>2048</v>
      </c>
      <c r="M12" s="1846">
        <f t="shared" si="1"/>
        <v>2049</v>
      </c>
      <c r="N12" s="1846">
        <f t="shared" si="1"/>
        <v>2050</v>
      </c>
      <c r="O12" s="1846">
        <f t="shared" si="1"/>
        <v>2051</v>
      </c>
      <c r="P12" s="1846">
        <f t="shared" si="1"/>
        <v>2052</v>
      </c>
      <c r="Q12" s="1846">
        <f t="shared" si="1"/>
        <v>2053</v>
      </c>
      <c r="R12" s="1846">
        <f t="shared" si="1"/>
        <v>2054</v>
      </c>
      <c r="S12" s="1852">
        <f t="shared" si="1"/>
        <v>2055</v>
      </c>
    </row>
    <row r="13" spans="2:28" s="227" customFormat="1" ht="15" thickBot="1" x14ac:dyDescent="0.35">
      <c r="B13" s="775" t="s">
        <v>5</v>
      </c>
      <c r="C13" s="785" t="str">
        <f>C3</f>
        <v xml:space="preserve">Scénář s projektem </v>
      </c>
      <c r="D13" s="923"/>
      <c r="E13" s="1855"/>
      <c r="F13" s="1847"/>
      <c r="G13" s="1847"/>
      <c r="H13" s="1847"/>
      <c r="I13" s="1847"/>
      <c r="J13" s="1847"/>
      <c r="K13" s="1847"/>
      <c r="L13" s="1847"/>
      <c r="M13" s="1847"/>
      <c r="N13" s="1847"/>
      <c r="O13" s="1847"/>
      <c r="P13" s="1847"/>
      <c r="Q13" s="1847"/>
      <c r="R13" s="1847"/>
      <c r="S13" s="1853"/>
    </row>
    <row r="14" spans="2:28" s="227" customFormat="1" ht="14.25" x14ac:dyDescent="0.3">
      <c r="B14" s="135"/>
      <c r="C14" s="136" t="str">
        <f>C4</f>
        <v>měrná trakční spotřeba, BUS (koeficient = 1,0)</v>
      </c>
      <c r="D14" s="924"/>
      <c r="E14" s="1343">
        <v>1</v>
      </c>
      <c r="F14" s="1343">
        <v>1</v>
      </c>
      <c r="G14" s="1343">
        <v>1</v>
      </c>
      <c r="H14" s="1343">
        <v>1</v>
      </c>
      <c r="I14" s="1343">
        <v>1</v>
      </c>
      <c r="J14" s="1343">
        <v>1</v>
      </c>
      <c r="K14" s="1343">
        <v>1</v>
      </c>
      <c r="L14" s="1343">
        <v>1</v>
      </c>
      <c r="M14" s="1343">
        <v>1</v>
      </c>
      <c r="N14" s="1343">
        <v>1</v>
      </c>
      <c r="O14" s="1343">
        <v>1</v>
      </c>
      <c r="P14" s="1343">
        <v>1</v>
      </c>
      <c r="Q14" s="1343">
        <v>1</v>
      </c>
      <c r="R14" s="1343">
        <v>1</v>
      </c>
      <c r="S14" s="1343">
        <v>1</v>
      </c>
      <c r="T14" s="474"/>
    </row>
    <row r="15" spans="2:28" s="227" customFormat="1" ht="14.25" x14ac:dyDescent="0.3">
      <c r="B15" s="135"/>
      <c r="C15" s="136" t="str">
        <f t="shared" ref="C15:C19" si="2">C5</f>
        <v>měrná trakční spotřeba, trolejbus (kWh/vzkm)</v>
      </c>
      <c r="D15" s="854"/>
      <c r="E15" s="578"/>
      <c r="F15" s="578"/>
      <c r="G15" s="578"/>
      <c r="H15" s="578"/>
      <c r="I15" s="578"/>
      <c r="J15" s="578"/>
      <c r="K15" s="578"/>
      <c r="L15" s="578"/>
      <c r="M15" s="578"/>
      <c r="N15" s="578"/>
      <c r="O15" s="578"/>
      <c r="P15" s="578"/>
      <c r="Q15" s="578"/>
      <c r="R15" s="578"/>
      <c r="S15" s="578"/>
      <c r="T15" s="474"/>
    </row>
    <row r="16" spans="2:28" s="227" customFormat="1" ht="14.25" x14ac:dyDescent="0.3">
      <c r="B16" s="135"/>
      <c r="C16" s="136" t="str">
        <f t="shared" si="2"/>
        <v>měrná trakční spotřeba, tramvaj (kWh/vzkm)</v>
      </c>
      <c r="D16" s="854"/>
      <c r="E16" s="578"/>
      <c r="F16" s="578"/>
      <c r="G16" s="578"/>
      <c r="H16" s="578"/>
      <c r="I16" s="578"/>
      <c r="J16" s="578"/>
      <c r="K16" s="578"/>
      <c r="L16" s="578"/>
      <c r="M16" s="578"/>
      <c r="N16" s="578"/>
      <c r="O16" s="578"/>
      <c r="P16" s="578"/>
      <c r="Q16" s="578"/>
      <c r="R16" s="578"/>
      <c r="S16" s="578"/>
      <c r="T16" s="474"/>
    </row>
    <row r="17" spans="1:37" s="227" customFormat="1" ht="14.25" x14ac:dyDescent="0.3">
      <c r="B17" s="135"/>
      <c r="C17" s="136" t="str">
        <f t="shared" si="2"/>
        <v>měrná trakční spotřeba, metro (kWh/vzkm)</v>
      </c>
      <c r="D17" s="854"/>
      <c r="E17" s="578"/>
      <c r="F17" s="578"/>
      <c r="G17" s="578"/>
      <c r="H17" s="578"/>
      <c r="I17" s="578"/>
      <c r="J17" s="578"/>
      <c r="K17" s="578"/>
      <c r="L17" s="578"/>
      <c r="M17" s="578"/>
      <c r="N17" s="578"/>
      <c r="O17" s="578"/>
      <c r="P17" s="578"/>
      <c r="Q17" s="578"/>
      <c r="R17" s="578"/>
      <c r="S17" s="578"/>
      <c r="T17" s="474"/>
    </row>
    <row r="18" spans="1:37" s="227" customFormat="1" ht="14.25" x14ac:dyDescent="0.3">
      <c r="B18" s="135"/>
      <c r="C18" s="136" t="str">
        <f t="shared" si="2"/>
        <v>měrná trakční spotřeba IAD (koeficient = 1,0)</v>
      </c>
      <c r="D18" s="854"/>
      <c r="E18" s="1343">
        <v>1</v>
      </c>
      <c r="F18" s="1343">
        <v>1</v>
      </c>
      <c r="G18" s="1343">
        <v>1</v>
      </c>
      <c r="H18" s="1343">
        <v>1</v>
      </c>
      <c r="I18" s="1343">
        <v>1</v>
      </c>
      <c r="J18" s="1343">
        <v>1</v>
      </c>
      <c r="K18" s="1343">
        <v>1</v>
      </c>
      <c r="L18" s="1343">
        <v>1</v>
      </c>
      <c r="M18" s="1343">
        <v>1</v>
      </c>
      <c r="N18" s="1343">
        <v>1</v>
      </c>
      <c r="O18" s="1343">
        <v>1</v>
      </c>
      <c r="P18" s="1343">
        <v>1</v>
      </c>
      <c r="Q18" s="1343">
        <v>1</v>
      </c>
      <c r="R18" s="1343">
        <v>1</v>
      </c>
      <c r="S18" s="1343">
        <v>1</v>
      </c>
      <c r="T18" s="474"/>
    </row>
    <row r="19" spans="1:37" s="227" customFormat="1" ht="14.25" x14ac:dyDescent="0.3">
      <c r="B19" s="135"/>
      <c r="C19" s="136" t="str">
        <f t="shared" si="2"/>
        <v>ostatní spotřeba el. energie (kWh/rok)*</v>
      </c>
      <c r="D19" s="854"/>
      <c r="E19" s="578"/>
      <c r="F19" s="578"/>
      <c r="G19" s="578"/>
      <c r="H19" s="578"/>
      <c r="I19" s="578"/>
      <c r="J19" s="578"/>
      <c r="K19" s="578"/>
      <c r="L19" s="578"/>
      <c r="M19" s="578"/>
      <c r="N19" s="578"/>
      <c r="O19" s="578"/>
      <c r="P19" s="578"/>
      <c r="Q19" s="578"/>
      <c r="R19" s="578"/>
      <c r="S19" s="578"/>
      <c r="T19" s="474"/>
    </row>
    <row r="20" spans="1:37" s="227" customFormat="1" ht="15" thickBot="1" x14ac:dyDescent="0.35">
      <c r="B20" s="778"/>
      <c r="C20" s="779" t="str">
        <f>C10</f>
        <v xml:space="preserve">Celkem </v>
      </c>
      <c r="D20" s="925"/>
      <c r="E20" s="919"/>
      <c r="F20" s="920"/>
      <c r="G20" s="920"/>
      <c r="H20" s="920"/>
      <c r="I20" s="920"/>
      <c r="J20" s="920"/>
      <c r="K20" s="920"/>
      <c r="L20" s="920"/>
      <c r="M20" s="920"/>
      <c r="N20" s="920"/>
      <c r="O20" s="920"/>
      <c r="P20" s="920"/>
      <c r="Q20" s="920"/>
      <c r="R20" s="920"/>
      <c r="S20" s="921"/>
    </row>
    <row r="21" spans="1:37" s="227" customFormat="1" ht="14.25" thickBot="1" x14ac:dyDescent="0.35">
      <c r="B21" s="787"/>
      <c r="C21" s="788"/>
      <c r="D21" s="770"/>
      <c r="E21" s="789"/>
      <c r="F21" s="789"/>
      <c r="G21" s="789"/>
      <c r="H21" s="789"/>
      <c r="I21" s="789"/>
      <c r="J21" s="789"/>
      <c r="K21" s="789"/>
      <c r="L21" s="789"/>
      <c r="M21" s="789"/>
      <c r="N21" s="789"/>
      <c r="O21" s="789"/>
      <c r="P21" s="789"/>
      <c r="Q21" s="789"/>
      <c r="R21" s="789"/>
      <c r="S21" s="789"/>
    </row>
    <row r="22" spans="1:37" s="227" customFormat="1" ht="14.25" x14ac:dyDescent="0.3">
      <c r="B22" s="790" t="s">
        <v>1486</v>
      </c>
      <c r="C22" s="803" t="str">
        <f>C2</f>
        <v>Měrná trakční spotřeba elektrické energie (kWh/vzkm)</v>
      </c>
      <c r="D22" s="926"/>
      <c r="E22" s="1848">
        <f>E2</f>
        <v>2026</v>
      </c>
      <c r="F22" s="1848">
        <f t="shared" ref="F22:S22" si="3">E22+1</f>
        <v>2027</v>
      </c>
      <c r="G22" s="1848">
        <f t="shared" si="3"/>
        <v>2028</v>
      </c>
      <c r="H22" s="1848">
        <f t="shared" si="3"/>
        <v>2029</v>
      </c>
      <c r="I22" s="1848">
        <f t="shared" si="3"/>
        <v>2030</v>
      </c>
      <c r="J22" s="1848">
        <f t="shared" si="3"/>
        <v>2031</v>
      </c>
      <c r="K22" s="1848">
        <f t="shared" si="3"/>
        <v>2032</v>
      </c>
      <c r="L22" s="1848">
        <f t="shared" si="3"/>
        <v>2033</v>
      </c>
      <c r="M22" s="1848">
        <f t="shared" si="3"/>
        <v>2034</v>
      </c>
      <c r="N22" s="1848">
        <f t="shared" si="3"/>
        <v>2035</v>
      </c>
      <c r="O22" s="1848">
        <f t="shared" si="3"/>
        <v>2036</v>
      </c>
      <c r="P22" s="1848">
        <f t="shared" si="3"/>
        <v>2037</v>
      </c>
      <c r="Q22" s="1848">
        <f t="shared" si="3"/>
        <v>2038</v>
      </c>
      <c r="R22" s="1848">
        <f t="shared" si="3"/>
        <v>2039</v>
      </c>
      <c r="S22" s="1856">
        <f t="shared" si="3"/>
        <v>2040</v>
      </c>
    </row>
    <row r="23" spans="1:37" s="227" customFormat="1" ht="13.5" customHeight="1" thickBot="1" x14ac:dyDescent="0.35">
      <c r="B23" s="792" t="s">
        <v>4</v>
      </c>
      <c r="C23" s="804" t="s">
        <v>1413</v>
      </c>
      <c r="D23" s="927" t="str">
        <f>C10</f>
        <v xml:space="preserve">Celkem </v>
      </c>
      <c r="E23" s="1849"/>
      <c r="F23" s="1849"/>
      <c r="G23" s="1849"/>
      <c r="H23" s="1849"/>
      <c r="I23" s="1849"/>
      <c r="J23" s="1849"/>
      <c r="K23" s="1849"/>
      <c r="L23" s="1849"/>
      <c r="M23" s="1849"/>
      <c r="N23" s="1849"/>
      <c r="O23" s="1849"/>
      <c r="P23" s="1849"/>
      <c r="Q23" s="1849"/>
      <c r="R23" s="1849"/>
      <c r="S23" s="1857"/>
      <c r="T23" s="229"/>
    </row>
    <row r="24" spans="1:37" s="227" customFormat="1" ht="13.15" customHeight="1" x14ac:dyDescent="0.3">
      <c r="A24" s="472"/>
      <c r="B24" s="795"/>
      <c r="C24" s="796" t="str">
        <f>C14</f>
        <v>měrná trakční spotřeba, BUS (koeficient = 1,0)</v>
      </c>
      <c r="D24" s="916"/>
      <c r="E24" s="1343">
        <v>1</v>
      </c>
      <c r="F24" s="1343">
        <v>1</v>
      </c>
      <c r="G24" s="1343">
        <v>1</v>
      </c>
      <c r="H24" s="1343">
        <v>1</v>
      </c>
      <c r="I24" s="1343">
        <v>1</v>
      </c>
      <c r="J24" s="1343">
        <v>1</v>
      </c>
      <c r="K24" s="1343">
        <v>1</v>
      </c>
      <c r="L24" s="1343">
        <v>1</v>
      </c>
      <c r="M24" s="1343">
        <v>1</v>
      </c>
      <c r="N24" s="1343">
        <v>1</v>
      </c>
      <c r="O24" s="1343">
        <v>1</v>
      </c>
      <c r="P24" s="1343">
        <v>1</v>
      </c>
      <c r="Q24" s="1343">
        <v>1</v>
      </c>
      <c r="R24" s="1343">
        <v>1</v>
      </c>
      <c r="S24" s="1343">
        <v>1</v>
      </c>
      <c r="T24" s="475"/>
      <c r="U24" s="229"/>
      <c r="V24" s="229"/>
      <c r="W24" s="229"/>
      <c r="X24" s="229"/>
      <c r="Y24" s="229"/>
      <c r="Z24" s="229"/>
      <c r="AA24" s="229"/>
      <c r="AD24" s="229"/>
      <c r="AE24" s="229"/>
      <c r="AF24" s="229"/>
      <c r="AG24" s="229"/>
      <c r="AH24" s="229"/>
      <c r="AI24" s="229"/>
      <c r="AJ24" s="229"/>
      <c r="AK24" s="229"/>
    </row>
    <row r="25" spans="1:37" s="227" customFormat="1" ht="13.15" customHeight="1" x14ac:dyDescent="0.3">
      <c r="A25" s="472"/>
      <c r="B25" s="795"/>
      <c r="C25" s="796" t="str">
        <f t="shared" ref="C25:C29" si="4">C15</f>
        <v>měrná trakční spotřeba, trolejbus (kWh/vzkm)</v>
      </c>
      <c r="D25" s="917"/>
      <c r="E25" s="578"/>
      <c r="F25" s="578"/>
      <c r="G25" s="578"/>
      <c r="H25" s="578"/>
      <c r="I25" s="578"/>
      <c r="J25" s="578"/>
      <c r="K25" s="578"/>
      <c r="L25" s="578"/>
      <c r="M25" s="578"/>
      <c r="N25" s="578"/>
      <c r="O25" s="578"/>
      <c r="P25" s="578"/>
      <c r="Q25" s="578"/>
      <c r="R25" s="578"/>
      <c r="S25" s="578"/>
      <c r="T25" s="475"/>
      <c r="U25" s="229"/>
      <c r="V25" s="229"/>
      <c r="W25" s="229"/>
      <c r="X25" s="229"/>
      <c r="Y25" s="229"/>
      <c r="Z25" s="229"/>
      <c r="AA25" s="229"/>
      <c r="AD25" s="229"/>
      <c r="AE25" s="229"/>
      <c r="AF25" s="229"/>
      <c r="AG25" s="229"/>
      <c r="AH25" s="229"/>
      <c r="AI25" s="229"/>
      <c r="AJ25" s="229"/>
      <c r="AK25" s="229"/>
    </row>
    <row r="26" spans="1:37" s="227" customFormat="1" ht="13.15" customHeight="1" x14ac:dyDescent="0.3">
      <c r="A26" s="472"/>
      <c r="B26" s="795"/>
      <c r="C26" s="796" t="str">
        <f t="shared" si="4"/>
        <v>měrná trakční spotřeba, tramvaj (kWh/vzkm)</v>
      </c>
      <c r="D26" s="917"/>
      <c r="E26" s="578"/>
      <c r="F26" s="578"/>
      <c r="G26" s="578"/>
      <c r="H26" s="578"/>
      <c r="I26" s="578"/>
      <c r="J26" s="578"/>
      <c r="K26" s="578"/>
      <c r="L26" s="578"/>
      <c r="M26" s="578"/>
      <c r="N26" s="578"/>
      <c r="O26" s="578"/>
      <c r="P26" s="578"/>
      <c r="Q26" s="578"/>
      <c r="R26" s="578"/>
      <c r="S26" s="578"/>
      <c r="T26" s="475"/>
      <c r="U26" s="229"/>
      <c r="V26" s="229"/>
      <c r="W26" s="229"/>
      <c r="X26" s="229"/>
      <c r="Y26" s="229"/>
      <c r="Z26" s="229"/>
      <c r="AA26" s="229"/>
      <c r="AD26" s="229"/>
      <c r="AE26" s="229"/>
      <c r="AF26" s="229"/>
      <c r="AG26" s="229"/>
      <c r="AH26" s="229"/>
      <c r="AI26" s="229"/>
      <c r="AJ26" s="229"/>
      <c r="AK26" s="229"/>
    </row>
    <row r="27" spans="1:37" s="227" customFormat="1" ht="13.15" customHeight="1" x14ac:dyDescent="0.3">
      <c r="A27" s="472"/>
      <c r="B27" s="795"/>
      <c r="C27" s="796" t="str">
        <f t="shared" si="4"/>
        <v>měrná trakční spotřeba, metro (kWh/vzkm)</v>
      </c>
      <c r="D27" s="917"/>
      <c r="E27" s="578"/>
      <c r="F27" s="578"/>
      <c r="G27" s="578"/>
      <c r="H27" s="578"/>
      <c r="I27" s="578"/>
      <c r="J27" s="578"/>
      <c r="K27" s="578"/>
      <c r="L27" s="578"/>
      <c r="M27" s="578"/>
      <c r="N27" s="578"/>
      <c r="O27" s="578"/>
      <c r="P27" s="578"/>
      <c r="Q27" s="578"/>
      <c r="R27" s="578"/>
      <c r="S27" s="578"/>
      <c r="T27" s="475"/>
      <c r="U27" s="229"/>
      <c r="V27" s="229"/>
      <c r="W27" s="229"/>
      <c r="X27" s="229"/>
      <c r="Y27" s="229"/>
      <c r="Z27" s="229"/>
      <c r="AA27" s="229"/>
      <c r="AD27" s="229"/>
      <c r="AE27" s="229"/>
      <c r="AF27" s="229"/>
      <c r="AG27" s="229"/>
      <c r="AH27" s="229"/>
      <c r="AI27" s="229"/>
      <c r="AJ27" s="229"/>
      <c r="AK27" s="229"/>
    </row>
    <row r="28" spans="1:37" s="227" customFormat="1" ht="13.15" customHeight="1" x14ac:dyDescent="0.3">
      <c r="A28" s="472"/>
      <c r="B28" s="795"/>
      <c r="C28" s="796" t="str">
        <f t="shared" si="4"/>
        <v>měrná trakční spotřeba IAD (koeficient = 1,0)</v>
      </c>
      <c r="D28" s="917"/>
      <c r="E28" s="1343">
        <v>1</v>
      </c>
      <c r="F28" s="1343">
        <v>1</v>
      </c>
      <c r="G28" s="1343">
        <v>1</v>
      </c>
      <c r="H28" s="1343">
        <v>1</v>
      </c>
      <c r="I28" s="1343">
        <v>1</v>
      </c>
      <c r="J28" s="1343">
        <v>1</v>
      </c>
      <c r="K28" s="1343">
        <v>1</v>
      </c>
      <c r="L28" s="1343">
        <v>1</v>
      </c>
      <c r="M28" s="1343">
        <v>1</v>
      </c>
      <c r="N28" s="1343">
        <v>1</v>
      </c>
      <c r="O28" s="1343">
        <v>1</v>
      </c>
      <c r="P28" s="1343">
        <v>1</v>
      </c>
      <c r="Q28" s="1343">
        <v>1</v>
      </c>
      <c r="R28" s="1343">
        <v>1</v>
      </c>
      <c r="S28" s="1343">
        <v>1</v>
      </c>
      <c r="T28" s="475"/>
      <c r="U28" s="229"/>
      <c r="V28" s="229"/>
      <c r="W28" s="229"/>
      <c r="X28" s="229"/>
      <c r="Y28" s="229"/>
      <c r="Z28" s="229"/>
      <c r="AA28" s="229"/>
      <c r="AD28" s="229"/>
      <c r="AE28" s="229"/>
      <c r="AF28" s="229"/>
      <c r="AG28" s="229"/>
      <c r="AH28" s="229"/>
      <c r="AI28" s="229"/>
      <c r="AJ28" s="229"/>
      <c r="AK28" s="229"/>
    </row>
    <row r="29" spans="1:37" s="227" customFormat="1" ht="13.15" customHeight="1" x14ac:dyDescent="0.3">
      <c r="A29" s="472"/>
      <c r="B29" s="795"/>
      <c r="C29" s="796" t="str">
        <f t="shared" si="4"/>
        <v>ostatní spotřeba el. energie (kWh/rok)*</v>
      </c>
      <c r="D29" s="917">
        <f>SUM(E29:S29,E39:S39)</f>
        <v>0</v>
      </c>
      <c r="E29" s="578"/>
      <c r="F29" s="578"/>
      <c r="G29" s="578"/>
      <c r="H29" s="578"/>
      <c r="I29" s="578"/>
      <c r="J29" s="578"/>
      <c r="K29" s="578"/>
      <c r="L29" s="578"/>
      <c r="M29" s="578"/>
      <c r="N29" s="578"/>
      <c r="O29" s="578"/>
      <c r="P29" s="578"/>
      <c r="Q29" s="578"/>
      <c r="R29" s="578"/>
      <c r="S29" s="578"/>
      <c r="T29" s="475"/>
      <c r="U29" s="229"/>
      <c r="V29" s="229"/>
      <c r="W29" s="229"/>
      <c r="X29" s="229"/>
      <c r="Y29" s="229"/>
      <c r="Z29" s="229"/>
      <c r="AA29" s="229"/>
      <c r="AD29" s="229"/>
      <c r="AE29" s="229"/>
      <c r="AF29" s="229"/>
      <c r="AG29" s="229"/>
      <c r="AH29" s="229"/>
      <c r="AI29" s="229"/>
      <c r="AJ29" s="229"/>
      <c r="AK29" s="229"/>
    </row>
    <row r="30" spans="1:37" s="227" customFormat="1" ht="13.9" customHeight="1" thickBot="1" x14ac:dyDescent="0.35">
      <c r="B30" s="798"/>
      <c r="C30" s="799" t="str">
        <f>D23</f>
        <v xml:space="preserve">Celkem </v>
      </c>
      <c r="D30" s="928"/>
      <c r="E30" s="929"/>
      <c r="F30" s="930"/>
      <c r="G30" s="930"/>
      <c r="H30" s="930"/>
      <c r="I30" s="930"/>
      <c r="J30" s="930"/>
      <c r="K30" s="930"/>
      <c r="L30" s="930"/>
      <c r="M30" s="930"/>
      <c r="N30" s="930"/>
      <c r="O30" s="930"/>
      <c r="P30" s="930"/>
      <c r="Q30" s="930"/>
      <c r="R30" s="930"/>
      <c r="S30" s="931"/>
      <c r="T30" s="228"/>
      <c r="U30" s="228"/>
      <c r="V30" s="228"/>
      <c r="W30" s="228"/>
      <c r="X30" s="228"/>
      <c r="Y30" s="228"/>
      <c r="Z30" s="228"/>
      <c r="AA30" s="228"/>
      <c r="AD30" s="228"/>
      <c r="AE30" s="228"/>
      <c r="AF30" s="228"/>
      <c r="AG30" s="228"/>
      <c r="AH30" s="228"/>
      <c r="AI30" s="228"/>
      <c r="AJ30" s="228"/>
      <c r="AK30" s="228"/>
    </row>
    <row r="31" spans="1:37" s="227" customFormat="1" ht="13.9" customHeight="1" thickBot="1" x14ac:dyDescent="0.35">
      <c r="B31" s="783"/>
      <c r="C31" s="769"/>
      <c r="D31" s="770"/>
      <c r="E31" s="770"/>
      <c r="F31" s="770"/>
      <c r="G31" s="770"/>
      <c r="H31" s="770"/>
      <c r="I31" s="770"/>
      <c r="J31" s="770"/>
      <c r="K31" s="770"/>
      <c r="L31" s="770"/>
      <c r="M31" s="770"/>
      <c r="N31" s="770"/>
      <c r="O31" s="770"/>
      <c r="P31" s="770"/>
      <c r="Q31" s="770"/>
      <c r="R31" s="770"/>
      <c r="S31" s="770"/>
      <c r="T31" s="228"/>
      <c r="U31" s="228"/>
      <c r="V31" s="228"/>
      <c r="W31" s="228"/>
      <c r="X31" s="228"/>
      <c r="Y31" s="228"/>
      <c r="Z31" s="228"/>
      <c r="AA31" s="228"/>
      <c r="AD31" s="228"/>
      <c r="AE31" s="228"/>
      <c r="AF31" s="228"/>
      <c r="AG31" s="228"/>
      <c r="AH31" s="228"/>
      <c r="AI31" s="228"/>
      <c r="AJ31" s="228"/>
      <c r="AK31" s="228"/>
    </row>
    <row r="32" spans="1:37" s="227" customFormat="1" ht="13.15" customHeight="1" x14ac:dyDescent="0.3">
      <c r="B32" s="790" t="str">
        <f>B22</f>
        <v>10.2.</v>
      </c>
      <c r="C32" s="803" t="str">
        <f>C22</f>
        <v>Měrná trakční spotřeba elektrické energie (kWh/vzkm)</v>
      </c>
      <c r="D32" s="932"/>
      <c r="E32" s="1880">
        <f>S22+1</f>
        <v>2041</v>
      </c>
      <c r="F32" s="1848">
        <f t="shared" ref="F32:S32" si="5">E32+1</f>
        <v>2042</v>
      </c>
      <c r="G32" s="1848">
        <f t="shared" si="5"/>
        <v>2043</v>
      </c>
      <c r="H32" s="1848">
        <f t="shared" si="5"/>
        <v>2044</v>
      </c>
      <c r="I32" s="1848">
        <f t="shared" si="5"/>
        <v>2045</v>
      </c>
      <c r="J32" s="1848">
        <f t="shared" si="5"/>
        <v>2046</v>
      </c>
      <c r="K32" s="1848">
        <f t="shared" si="5"/>
        <v>2047</v>
      </c>
      <c r="L32" s="1848">
        <f t="shared" si="5"/>
        <v>2048</v>
      </c>
      <c r="M32" s="1848">
        <f t="shared" si="5"/>
        <v>2049</v>
      </c>
      <c r="N32" s="1848">
        <f t="shared" si="5"/>
        <v>2050</v>
      </c>
      <c r="O32" s="1848">
        <f t="shared" si="5"/>
        <v>2051</v>
      </c>
      <c r="P32" s="1848">
        <f t="shared" si="5"/>
        <v>2052</v>
      </c>
      <c r="Q32" s="1848">
        <f t="shared" si="5"/>
        <v>2053</v>
      </c>
      <c r="R32" s="1848">
        <f t="shared" si="5"/>
        <v>2054</v>
      </c>
      <c r="S32" s="1856">
        <f t="shared" si="5"/>
        <v>2055</v>
      </c>
      <c r="T32" s="230"/>
      <c r="U32" s="230"/>
      <c r="V32" s="230"/>
      <c r="W32" s="230"/>
      <c r="X32" s="230"/>
      <c r="Y32" s="230"/>
      <c r="Z32" s="230"/>
      <c r="AA32" s="230"/>
      <c r="AD32" s="228"/>
      <c r="AE32" s="228"/>
      <c r="AF32" s="228"/>
      <c r="AG32" s="228"/>
      <c r="AH32" s="228"/>
      <c r="AI32" s="228"/>
      <c r="AJ32" s="228"/>
      <c r="AK32" s="228"/>
    </row>
    <row r="33" spans="1:37" s="227" customFormat="1" ht="13.9" customHeight="1" thickBot="1" x14ac:dyDescent="0.35">
      <c r="B33" s="792" t="s">
        <v>5</v>
      </c>
      <c r="C33" s="804" t="str">
        <f>C23</f>
        <v xml:space="preserve">Scénář bez projektu </v>
      </c>
      <c r="D33" s="933"/>
      <c r="E33" s="1881">
        <f>S23+1</f>
        <v>1</v>
      </c>
      <c r="F33" s="1849"/>
      <c r="G33" s="1849"/>
      <c r="H33" s="1849"/>
      <c r="I33" s="1849"/>
      <c r="J33" s="1849"/>
      <c r="K33" s="1849"/>
      <c r="L33" s="1849"/>
      <c r="M33" s="1849"/>
      <c r="N33" s="1849"/>
      <c r="O33" s="1849"/>
      <c r="P33" s="1849"/>
      <c r="Q33" s="1849"/>
      <c r="R33" s="1849"/>
      <c r="S33" s="1857"/>
      <c r="AD33" s="230"/>
      <c r="AE33" s="230"/>
      <c r="AF33" s="230"/>
      <c r="AG33" s="230"/>
      <c r="AH33" s="230"/>
      <c r="AI33" s="230"/>
      <c r="AJ33" s="230"/>
      <c r="AK33" s="230"/>
    </row>
    <row r="34" spans="1:37" s="227" customFormat="1" ht="14.25" x14ac:dyDescent="0.3">
      <c r="B34" s="135"/>
      <c r="C34" s="136" t="str">
        <f>C24</f>
        <v>měrná trakční spotřeba, BUS (koeficient = 1,0)</v>
      </c>
      <c r="D34" s="924"/>
      <c r="E34" s="1343">
        <v>1</v>
      </c>
      <c r="F34" s="1343">
        <v>1</v>
      </c>
      <c r="G34" s="1343">
        <v>1</v>
      </c>
      <c r="H34" s="1343">
        <v>1</v>
      </c>
      <c r="I34" s="1343">
        <v>1</v>
      </c>
      <c r="J34" s="1343">
        <v>1</v>
      </c>
      <c r="K34" s="1343">
        <v>1</v>
      </c>
      <c r="L34" s="1343">
        <v>1</v>
      </c>
      <c r="M34" s="1343">
        <v>1</v>
      </c>
      <c r="N34" s="1343">
        <v>1</v>
      </c>
      <c r="O34" s="1343">
        <v>1</v>
      </c>
      <c r="P34" s="1343">
        <v>1</v>
      </c>
      <c r="Q34" s="1343">
        <v>1</v>
      </c>
      <c r="R34" s="1343">
        <v>1</v>
      </c>
      <c r="S34" s="1343">
        <v>1</v>
      </c>
      <c r="T34" s="474"/>
    </row>
    <row r="35" spans="1:37" s="227" customFormat="1" ht="14.25" x14ac:dyDescent="0.3">
      <c r="B35" s="135"/>
      <c r="C35" s="136" t="str">
        <f t="shared" ref="C35:C39" si="6">C25</f>
        <v>měrná trakční spotřeba, trolejbus (kWh/vzkm)</v>
      </c>
      <c r="D35" s="854"/>
      <c r="E35" s="578"/>
      <c r="F35" s="578"/>
      <c r="G35" s="578"/>
      <c r="H35" s="578"/>
      <c r="I35" s="578"/>
      <c r="J35" s="578"/>
      <c r="K35" s="578"/>
      <c r="L35" s="578"/>
      <c r="M35" s="578"/>
      <c r="N35" s="578"/>
      <c r="O35" s="578"/>
      <c r="P35" s="578"/>
      <c r="Q35" s="578"/>
      <c r="R35" s="578"/>
      <c r="S35" s="578"/>
      <c r="T35" s="474"/>
    </row>
    <row r="36" spans="1:37" s="227" customFormat="1" ht="14.25" x14ac:dyDescent="0.3">
      <c r="B36" s="135"/>
      <c r="C36" s="136" t="str">
        <f t="shared" si="6"/>
        <v>měrná trakční spotřeba, tramvaj (kWh/vzkm)</v>
      </c>
      <c r="D36" s="854"/>
      <c r="E36" s="578"/>
      <c r="F36" s="578"/>
      <c r="G36" s="578"/>
      <c r="H36" s="578"/>
      <c r="I36" s="578"/>
      <c r="J36" s="578"/>
      <c r="K36" s="578"/>
      <c r="L36" s="578"/>
      <c r="M36" s="578"/>
      <c r="N36" s="578"/>
      <c r="O36" s="578"/>
      <c r="P36" s="578"/>
      <c r="Q36" s="578"/>
      <c r="R36" s="578"/>
      <c r="S36" s="578"/>
      <c r="T36" s="474"/>
    </row>
    <row r="37" spans="1:37" s="227" customFormat="1" ht="14.25" x14ac:dyDescent="0.3">
      <c r="B37" s="135"/>
      <c r="C37" s="136" t="str">
        <f t="shared" si="6"/>
        <v>měrná trakční spotřeba, metro (kWh/vzkm)</v>
      </c>
      <c r="D37" s="854"/>
      <c r="E37" s="578"/>
      <c r="F37" s="578"/>
      <c r="G37" s="578"/>
      <c r="H37" s="578"/>
      <c r="I37" s="578"/>
      <c r="J37" s="578"/>
      <c r="K37" s="578"/>
      <c r="L37" s="578"/>
      <c r="M37" s="578"/>
      <c r="N37" s="578"/>
      <c r="O37" s="578"/>
      <c r="P37" s="578"/>
      <c r="Q37" s="578"/>
      <c r="R37" s="578"/>
      <c r="S37" s="578"/>
      <c r="T37" s="474"/>
    </row>
    <row r="38" spans="1:37" s="227" customFormat="1" ht="14.25" x14ac:dyDescent="0.3">
      <c r="B38" s="135"/>
      <c r="C38" s="136" t="str">
        <f t="shared" si="6"/>
        <v>měrná trakční spotřeba IAD (koeficient = 1,0)</v>
      </c>
      <c r="D38" s="854"/>
      <c r="E38" s="1343">
        <v>1</v>
      </c>
      <c r="F38" s="1343">
        <v>1</v>
      </c>
      <c r="G38" s="1343">
        <v>1</v>
      </c>
      <c r="H38" s="1343">
        <v>1</v>
      </c>
      <c r="I38" s="1343">
        <v>1</v>
      </c>
      <c r="J38" s="1343">
        <v>1</v>
      </c>
      <c r="K38" s="1343">
        <v>1</v>
      </c>
      <c r="L38" s="1343">
        <v>1</v>
      </c>
      <c r="M38" s="1343">
        <v>1</v>
      </c>
      <c r="N38" s="1343">
        <v>1</v>
      </c>
      <c r="O38" s="1343">
        <v>1</v>
      </c>
      <c r="P38" s="1343">
        <v>1</v>
      </c>
      <c r="Q38" s="1343">
        <v>1</v>
      </c>
      <c r="R38" s="1343">
        <v>1</v>
      </c>
      <c r="S38" s="1343">
        <v>1</v>
      </c>
      <c r="T38" s="474"/>
    </row>
    <row r="39" spans="1:37" s="227" customFormat="1" ht="14.25" x14ac:dyDescent="0.3">
      <c r="B39" s="135"/>
      <c r="C39" s="136" t="str">
        <f t="shared" si="6"/>
        <v>ostatní spotřeba el. energie (kWh/rok)*</v>
      </c>
      <c r="D39" s="854"/>
      <c r="E39" s="578"/>
      <c r="F39" s="578"/>
      <c r="G39" s="578"/>
      <c r="H39" s="578"/>
      <c r="I39" s="578"/>
      <c r="J39" s="578"/>
      <c r="K39" s="578"/>
      <c r="L39" s="578"/>
      <c r="M39" s="578"/>
      <c r="N39" s="578"/>
      <c r="O39" s="578"/>
      <c r="P39" s="578"/>
      <c r="Q39" s="578"/>
      <c r="R39" s="578"/>
      <c r="S39" s="578"/>
      <c r="T39" s="474"/>
    </row>
    <row r="40" spans="1:37" s="227" customFormat="1" ht="13.9" customHeight="1" thickBot="1" x14ac:dyDescent="0.35">
      <c r="B40" s="805"/>
      <c r="C40" s="799" t="str">
        <f>C30</f>
        <v xml:space="preserve">Celkem </v>
      </c>
      <c r="D40" s="934"/>
      <c r="E40" s="929"/>
      <c r="F40" s="930"/>
      <c r="G40" s="930"/>
      <c r="H40" s="930"/>
      <c r="I40" s="930"/>
      <c r="J40" s="930"/>
      <c r="K40" s="930"/>
      <c r="L40" s="930"/>
      <c r="M40" s="930"/>
      <c r="N40" s="930"/>
      <c r="O40" s="930"/>
      <c r="P40" s="930"/>
      <c r="Q40" s="930"/>
      <c r="R40" s="930"/>
      <c r="S40" s="931"/>
    </row>
    <row r="41" spans="1:37" ht="14.25" thickBot="1" x14ac:dyDescent="0.35">
      <c r="B41" s="585"/>
      <c r="C41" s="585"/>
      <c r="D41" s="585"/>
      <c r="E41" s="585"/>
      <c r="F41" s="585"/>
      <c r="G41" s="585"/>
      <c r="H41" s="585"/>
      <c r="I41" s="585"/>
      <c r="J41" s="585"/>
      <c r="K41" s="585"/>
      <c r="L41" s="585"/>
      <c r="M41" s="585"/>
      <c r="N41" s="585"/>
      <c r="O41" s="585"/>
      <c r="P41" s="585"/>
      <c r="Q41" s="585"/>
      <c r="R41" s="585"/>
      <c r="S41" s="585"/>
    </row>
    <row r="42" spans="1:37" ht="14.25" x14ac:dyDescent="0.3">
      <c r="A42" s="245"/>
      <c r="B42" s="290" t="s">
        <v>1498</v>
      </c>
      <c r="C42" s="272" t="s">
        <v>1495</v>
      </c>
      <c r="D42" s="274"/>
      <c r="E42" s="2129">
        <f>'1 CIN'!E3</f>
        <v>2026</v>
      </c>
      <c r="F42" s="2127">
        <f t="shared" ref="F42:S42" si="7">E42+1</f>
        <v>2027</v>
      </c>
      <c r="G42" s="2127">
        <f t="shared" si="7"/>
        <v>2028</v>
      </c>
      <c r="H42" s="2127">
        <f t="shared" si="7"/>
        <v>2029</v>
      </c>
      <c r="I42" s="2127">
        <f t="shared" si="7"/>
        <v>2030</v>
      </c>
      <c r="J42" s="2127">
        <f t="shared" si="7"/>
        <v>2031</v>
      </c>
      <c r="K42" s="2127">
        <f t="shared" si="7"/>
        <v>2032</v>
      </c>
      <c r="L42" s="2127">
        <f t="shared" si="7"/>
        <v>2033</v>
      </c>
      <c r="M42" s="2127">
        <f t="shared" si="7"/>
        <v>2034</v>
      </c>
      <c r="N42" s="2127">
        <f t="shared" si="7"/>
        <v>2035</v>
      </c>
      <c r="O42" s="2127">
        <f t="shared" si="7"/>
        <v>2036</v>
      </c>
      <c r="P42" s="2127">
        <f t="shared" si="7"/>
        <v>2037</v>
      </c>
      <c r="Q42" s="2127">
        <f t="shared" si="7"/>
        <v>2038</v>
      </c>
      <c r="R42" s="2127">
        <f t="shared" si="7"/>
        <v>2039</v>
      </c>
      <c r="S42" s="2125">
        <f t="shared" si="7"/>
        <v>2040</v>
      </c>
      <c r="T42" s="247"/>
      <c r="U42" s="247"/>
      <c r="V42" s="247"/>
      <c r="W42" s="247"/>
      <c r="X42" s="247"/>
      <c r="Y42" s="247"/>
      <c r="Z42" s="247"/>
      <c r="AA42" s="247"/>
      <c r="AB42" s="247"/>
      <c r="AC42" s="247"/>
    </row>
    <row r="43" spans="1:37" ht="14.25" x14ac:dyDescent="0.3">
      <c r="A43" s="245"/>
      <c r="B43" s="257" t="s">
        <v>4</v>
      </c>
      <c r="C43" s="590" t="str">
        <f>IF('0 Úvod'!$M$10="English",Slovnik!D277,Slovnik!C277)</f>
        <v>Scénář s projektem</v>
      </c>
      <c r="D43" s="591" t="str">
        <f>IF('0 Úvod'!$M$10="English",Slovnik!$D$284,Slovnik!$C$284)</f>
        <v>Celkem</v>
      </c>
      <c r="E43" s="2134"/>
      <c r="F43" s="2135"/>
      <c r="G43" s="2135"/>
      <c r="H43" s="2135"/>
      <c r="I43" s="2135"/>
      <c r="J43" s="2135"/>
      <c r="K43" s="2135"/>
      <c r="L43" s="2135"/>
      <c r="M43" s="2135"/>
      <c r="N43" s="2135"/>
      <c r="O43" s="2135"/>
      <c r="P43" s="2135"/>
      <c r="Q43" s="2135"/>
      <c r="R43" s="2135"/>
      <c r="S43" s="2136"/>
      <c r="T43" s="247"/>
      <c r="U43" s="247"/>
      <c r="V43" s="247"/>
      <c r="W43" s="247"/>
      <c r="X43" s="247"/>
      <c r="Y43" s="247"/>
      <c r="Z43" s="247"/>
      <c r="AA43" s="247"/>
      <c r="AB43" s="247"/>
      <c r="AC43" s="247"/>
    </row>
    <row r="44" spans="1:37" ht="14.25" x14ac:dyDescent="0.3">
      <c r="A44" s="245"/>
      <c r="B44" s="1345" t="s">
        <v>438</v>
      </c>
      <c r="C44" s="136" t="s">
        <v>1462</v>
      </c>
      <c r="D44" s="1346">
        <f t="shared" ref="D44:D50" si="8">SUM(E44:S44,E54:S54)</f>
        <v>0</v>
      </c>
      <c r="E44" s="1510">
        <f>E4*E211*E$191*$H180*'11 Klima'!D237</f>
        <v>0</v>
      </c>
      <c r="F44" s="1347">
        <f>F4*F211*F$191*$H180*'11 Klima'!E237</f>
        <v>0</v>
      </c>
      <c r="G44" s="1347">
        <f>G4*G211*G$191*$H180*'11 Klima'!F237</f>
        <v>0</v>
      </c>
      <c r="H44" s="1347">
        <f>H4*H211*H$191*$H180*'11 Klima'!G237</f>
        <v>0</v>
      </c>
      <c r="I44" s="1347">
        <f>I4*I211*I$191*$H180*'11 Klima'!H237</f>
        <v>0</v>
      </c>
      <c r="J44" s="1347">
        <f>J4*J211*J$191*$H180*'11 Klima'!I237</f>
        <v>0</v>
      </c>
      <c r="K44" s="1347">
        <f>K4*K211*K$191*$H180*'11 Klima'!J237</f>
        <v>0</v>
      </c>
      <c r="L44" s="1347">
        <f>L4*L211*L$191*$H180*'11 Klima'!K237</f>
        <v>0</v>
      </c>
      <c r="M44" s="1347">
        <f>M4*M211*M$191*$H180*'11 Klima'!L237</f>
        <v>0</v>
      </c>
      <c r="N44" s="1347">
        <f>N4*N211*N$191*$H180*'11 Klima'!M237</f>
        <v>0</v>
      </c>
      <c r="O44" s="1347">
        <f>O4*O211*O$191*$H180*'11 Klima'!N237</f>
        <v>0</v>
      </c>
      <c r="P44" s="1347">
        <f>P4*P211*P$191*$H180*'11 Klima'!O237</f>
        <v>0</v>
      </c>
      <c r="Q44" s="1347">
        <f>Q4*Q211*Q$191*$H180*'11 Klima'!P237</f>
        <v>0</v>
      </c>
      <c r="R44" s="1347">
        <f>R4*R211*R$191*$H180*'11 Klima'!Q237</f>
        <v>0</v>
      </c>
      <c r="S44" s="1348">
        <f>S4*S211*S$191*$H180*'11 Klima'!R237</f>
        <v>0</v>
      </c>
      <c r="T44" s="236"/>
      <c r="U44" s="236"/>
      <c r="V44" s="236"/>
      <c r="W44" s="236"/>
      <c r="X44" s="236"/>
      <c r="Y44" s="236"/>
      <c r="Z44" s="236"/>
      <c r="AA44" s="236"/>
      <c r="AB44" s="236"/>
      <c r="AC44" s="236"/>
    </row>
    <row r="45" spans="1:37" s="289" customFormat="1" ht="14.25" x14ac:dyDescent="0.3">
      <c r="A45" s="287"/>
      <c r="B45" s="1345" t="s">
        <v>1448</v>
      </c>
      <c r="C45" s="136" t="s">
        <v>1462</v>
      </c>
      <c r="D45" s="1346">
        <f t="shared" si="8"/>
        <v>0</v>
      </c>
      <c r="E45" s="1510">
        <f>E5*E212*E$191*$H181*'11 Klima'!D238</f>
        <v>0</v>
      </c>
      <c r="F45" s="1347">
        <f>F5*F212*F$191*$H181*'11 Klima'!E238</f>
        <v>0</v>
      </c>
      <c r="G45" s="1347">
        <f>G5*G212*G$191*$H181*'11 Klima'!F238</f>
        <v>0</v>
      </c>
      <c r="H45" s="1347">
        <f>H5*H212*H$191*$H181*'11 Klima'!G238</f>
        <v>0</v>
      </c>
      <c r="I45" s="1347">
        <f>I5*I212*I$191*$H181*'11 Klima'!H238</f>
        <v>0</v>
      </c>
      <c r="J45" s="1347">
        <f>J5*J212*J$191*$H181*'11 Klima'!I238</f>
        <v>0</v>
      </c>
      <c r="K45" s="1347">
        <f>K5*K212*K$191*$H181*'11 Klima'!J238</f>
        <v>0</v>
      </c>
      <c r="L45" s="1347">
        <f>L5*L212*L$191*$H181*'11 Klima'!K238</f>
        <v>0</v>
      </c>
      <c r="M45" s="1347">
        <f>M5*M212*M$191*$H181*'11 Klima'!L238</f>
        <v>0</v>
      </c>
      <c r="N45" s="1347">
        <f>N5*N212*N$191*$H181*'11 Klima'!M238</f>
        <v>0</v>
      </c>
      <c r="O45" s="1347">
        <f>O5*O212*O$191*$H181*'11 Klima'!N238</f>
        <v>0</v>
      </c>
      <c r="P45" s="1347">
        <f>P5*P212*P$191*$H181*'11 Klima'!O238</f>
        <v>0</v>
      </c>
      <c r="Q45" s="1347">
        <f>Q5*Q212*Q$191*$H181*'11 Klima'!P238</f>
        <v>0</v>
      </c>
      <c r="R45" s="1347">
        <f>R5*R212*R$191*$H181*'11 Klima'!Q238</f>
        <v>0</v>
      </c>
      <c r="S45" s="1348">
        <f>S5*S212*S$191*$H181*'11 Klima'!R238</f>
        <v>0</v>
      </c>
      <c r="T45" s="288"/>
      <c r="U45" s="288"/>
      <c r="V45" s="288"/>
      <c r="W45" s="288"/>
      <c r="X45" s="288"/>
      <c r="Y45" s="288"/>
      <c r="Z45" s="288"/>
      <c r="AA45" s="288"/>
      <c r="AB45" s="288"/>
      <c r="AC45" s="288"/>
    </row>
    <row r="46" spans="1:37" ht="14.25" customHeight="1" x14ac:dyDescent="0.3">
      <c r="A46" s="245"/>
      <c r="B46" s="1345" t="s">
        <v>1449</v>
      </c>
      <c r="C46" s="136" t="s">
        <v>1462</v>
      </c>
      <c r="D46" s="1346">
        <f t="shared" si="8"/>
        <v>0</v>
      </c>
      <c r="E46" s="1510">
        <f>E6*E213*E$191*$H182*'11 Klima'!D239</f>
        <v>0</v>
      </c>
      <c r="F46" s="1347">
        <f>F6*F213*F$191*$H182*'11 Klima'!E239</f>
        <v>0</v>
      </c>
      <c r="G46" s="1347">
        <f>G6*G213*G$191*$H182*'11 Klima'!F239</f>
        <v>0</v>
      </c>
      <c r="H46" s="1347">
        <f>H6*H213*H$191*$H182*'11 Klima'!G239</f>
        <v>0</v>
      </c>
      <c r="I46" s="1347">
        <f>I6*I213*I$191*$H182*'11 Klima'!H239</f>
        <v>0</v>
      </c>
      <c r="J46" s="1347">
        <f>J6*J213*J$191*$H182*'11 Klima'!I239</f>
        <v>0</v>
      </c>
      <c r="K46" s="1347">
        <f>K6*K213*K$191*$H182*'11 Klima'!J239</f>
        <v>0</v>
      </c>
      <c r="L46" s="1347">
        <f>L6*L213*L$191*$H182*'11 Klima'!K239</f>
        <v>0</v>
      </c>
      <c r="M46" s="1347">
        <f>M6*M213*M$191*$H182*'11 Klima'!L239</f>
        <v>0</v>
      </c>
      <c r="N46" s="1347">
        <f>N6*N213*N$191*$H182*'11 Klima'!M239</f>
        <v>0</v>
      </c>
      <c r="O46" s="1347">
        <f>O6*O213*O$191*$H182*'11 Klima'!N239</f>
        <v>0</v>
      </c>
      <c r="P46" s="1347">
        <f>P6*P213*P$191*$H182*'11 Klima'!O239</f>
        <v>0</v>
      </c>
      <c r="Q46" s="1347">
        <f>Q6*Q213*Q$191*$H182*'11 Klima'!P239</f>
        <v>0</v>
      </c>
      <c r="R46" s="1347">
        <f>R6*R213*R$191*$H182*'11 Klima'!Q239</f>
        <v>0</v>
      </c>
      <c r="S46" s="1348">
        <f>S6*S213*S$191*$H182*'11 Klima'!R239</f>
        <v>0</v>
      </c>
      <c r="T46" s="236"/>
      <c r="U46" s="236"/>
      <c r="V46" s="236"/>
      <c r="W46" s="236"/>
      <c r="X46" s="236"/>
      <c r="Y46" s="236"/>
      <c r="Z46" s="236"/>
      <c r="AA46" s="236"/>
      <c r="AB46" s="236"/>
      <c r="AC46" s="236"/>
    </row>
    <row r="47" spans="1:37" s="289" customFormat="1" ht="14.25" x14ac:dyDescent="0.3">
      <c r="A47" s="287"/>
      <c r="B47" s="1345" t="s">
        <v>1450</v>
      </c>
      <c r="C47" s="136" t="s">
        <v>1462</v>
      </c>
      <c r="D47" s="1346">
        <f t="shared" si="8"/>
        <v>0</v>
      </c>
      <c r="E47" s="1510">
        <f>E7*E214*E$191*$H183*'11 Klima'!D240</f>
        <v>0</v>
      </c>
      <c r="F47" s="1347">
        <f>F7*F214*F$191*$H183*'11 Klima'!E240</f>
        <v>0</v>
      </c>
      <c r="G47" s="1347">
        <f>G7*G214*G$191*$H183*'11 Klima'!F240</f>
        <v>0</v>
      </c>
      <c r="H47" s="1347">
        <f>H7*H214*H$191*$H183*'11 Klima'!G240</f>
        <v>0</v>
      </c>
      <c r="I47" s="1347">
        <f>I7*I214*I$191*$H183*'11 Klima'!H240</f>
        <v>0</v>
      </c>
      <c r="J47" s="1347">
        <f>J7*J214*J$191*$H183*'11 Klima'!I240</f>
        <v>0</v>
      </c>
      <c r="K47" s="1347">
        <f>K7*K214*K$191*$H183*'11 Klima'!J240</f>
        <v>0</v>
      </c>
      <c r="L47" s="1347">
        <f>L7*L214*L$191*$H183*'11 Klima'!K240</f>
        <v>0</v>
      </c>
      <c r="M47" s="1347">
        <f>M7*M214*M$191*$H183*'11 Klima'!L240</f>
        <v>0</v>
      </c>
      <c r="N47" s="1347">
        <f>N7*N214*N$191*$H183*'11 Klima'!M240</f>
        <v>0</v>
      </c>
      <c r="O47" s="1347">
        <f>O7*O214*O$191*$H183*'11 Klima'!N240</f>
        <v>0</v>
      </c>
      <c r="P47" s="1347">
        <f>P7*P214*P$191*$H183*'11 Klima'!O240</f>
        <v>0</v>
      </c>
      <c r="Q47" s="1347">
        <f>Q7*Q214*Q$191*$H183*'11 Klima'!P240</f>
        <v>0</v>
      </c>
      <c r="R47" s="1347">
        <f>R7*R214*R$191*$H183*'11 Klima'!Q240</f>
        <v>0</v>
      </c>
      <c r="S47" s="1348">
        <f>S7*S214*S$191*$H183*'11 Klima'!R240</f>
        <v>0</v>
      </c>
      <c r="T47" s="288"/>
      <c r="U47" s="288"/>
      <c r="V47" s="288"/>
      <c r="W47" s="288"/>
      <c r="X47" s="288"/>
      <c r="Y47" s="288"/>
      <c r="Z47" s="288"/>
      <c r="AA47" s="288"/>
      <c r="AB47" s="288"/>
      <c r="AC47" s="288"/>
    </row>
    <row r="48" spans="1:37" s="289" customFormat="1" ht="14.25" x14ac:dyDescent="0.3">
      <c r="A48" s="287"/>
      <c r="B48" s="1345" t="s">
        <v>439</v>
      </c>
      <c r="C48" s="136" t="s">
        <v>1462</v>
      </c>
      <c r="D48" s="1346">
        <f t="shared" si="8"/>
        <v>0</v>
      </c>
      <c r="E48" s="1510">
        <f>E8*E215*E$191*$H184*'11 Klima'!D241</f>
        <v>0</v>
      </c>
      <c r="F48" s="1347">
        <f>F8*F215*F$191*$H184*'11 Klima'!E241</f>
        <v>0</v>
      </c>
      <c r="G48" s="1347">
        <f>G8*G215*G$191*$H184*'11 Klima'!F241</f>
        <v>0</v>
      </c>
      <c r="H48" s="1347">
        <f>H8*H215*H$191*$H184*'11 Klima'!G241</f>
        <v>0</v>
      </c>
      <c r="I48" s="1347">
        <f>I8*I215*I$191*$H184*'11 Klima'!H241</f>
        <v>0</v>
      </c>
      <c r="J48" s="1347">
        <f>J8*J215*J$191*$H184*'11 Klima'!I241</f>
        <v>0</v>
      </c>
      <c r="K48" s="1347">
        <f>K8*K215*K$191*$H184*'11 Klima'!J241</f>
        <v>0</v>
      </c>
      <c r="L48" s="1347">
        <f>L8*L215*L$191*$H184*'11 Klima'!K241</f>
        <v>0</v>
      </c>
      <c r="M48" s="1347">
        <f>M8*M215*M$191*$H184*'11 Klima'!L241</f>
        <v>0</v>
      </c>
      <c r="N48" s="1347">
        <f>N8*N215*N$191*$H184*'11 Klima'!M241</f>
        <v>0</v>
      </c>
      <c r="O48" s="1347">
        <f>O8*O215*O$191*$H184*'11 Klima'!N241</f>
        <v>0</v>
      </c>
      <c r="P48" s="1347">
        <f>P8*P215*P$191*$H184*'11 Klima'!O241</f>
        <v>0</v>
      </c>
      <c r="Q48" s="1347">
        <f>Q8*Q215*Q$191*$H184*'11 Klima'!P241</f>
        <v>0</v>
      </c>
      <c r="R48" s="1347">
        <f>R8*R215*R$191*$H184*'11 Klima'!Q241</f>
        <v>0</v>
      </c>
      <c r="S48" s="1348">
        <f>S8*S215*S$191*$H184*'11 Klima'!R241</f>
        <v>0</v>
      </c>
      <c r="T48" s="288"/>
      <c r="U48" s="288"/>
      <c r="V48" s="288"/>
      <c r="W48" s="288"/>
      <c r="X48" s="288"/>
      <c r="Y48" s="288"/>
      <c r="Z48" s="288"/>
      <c r="AA48" s="288"/>
      <c r="AB48" s="288"/>
      <c r="AC48" s="288"/>
    </row>
    <row r="49" spans="1:29" s="289" customFormat="1" ht="14.25" x14ac:dyDescent="0.3">
      <c r="A49" s="287"/>
      <c r="B49" s="1345" t="s">
        <v>1483</v>
      </c>
      <c r="C49" s="136" t="s">
        <v>1462</v>
      </c>
      <c r="D49" s="1346">
        <f t="shared" si="8"/>
        <v>0</v>
      </c>
      <c r="E49" s="1510">
        <f>E9*E216*E$191*$H185*'11 Klima'!D242</f>
        <v>0</v>
      </c>
      <c r="F49" s="1347">
        <f>F9*F216*F$191*$H185*'11 Klima'!E242</f>
        <v>0</v>
      </c>
      <c r="G49" s="1347">
        <f>G9*G216*G$191*$H185*'11 Klima'!F242</f>
        <v>0</v>
      </c>
      <c r="H49" s="1347">
        <f>H9*H216*H$191*$H185*'11 Klima'!G242</f>
        <v>0</v>
      </c>
      <c r="I49" s="1347">
        <f>I9*I216*I$191*$H185*'11 Klima'!H242</f>
        <v>0</v>
      </c>
      <c r="J49" s="1347">
        <f>J9*J216*J$191*$H185*'11 Klima'!I242</f>
        <v>0</v>
      </c>
      <c r="K49" s="1347">
        <f>K9*K216*K$191*$H185*'11 Klima'!J242</f>
        <v>0</v>
      </c>
      <c r="L49" s="1347">
        <f>L9*L216*L$191*$H185*'11 Klima'!K242</f>
        <v>0</v>
      </c>
      <c r="M49" s="1347">
        <f>M9*M216*M$191*$H185*'11 Klima'!L242</f>
        <v>0</v>
      </c>
      <c r="N49" s="1347">
        <f>N9*N216*N$191*$H185*'11 Klima'!M242</f>
        <v>0</v>
      </c>
      <c r="O49" s="1347">
        <f>O9*O216*O$191*$H185*'11 Klima'!N242</f>
        <v>0</v>
      </c>
      <c r="P49" s="1347">
        <f>P9*P216*P$191*$H185*'11 Klima'!O242</f>
        <v>0</v>
      </c>
      <c r="Q49" s="1347">
        <f>Q9*Q216*Q$191*$H185*'11 Klima'!P242</f>
        <v>0</v>
      </c>
      <c r="R49" s="1347">
        <f>R9*R216*R$191*$H185*'11 Klima'!Q242</f>
        <v>0</v>
      </c>
      <c r="S49" s="1348">
        <f>S9*S216*S$191*$H185*'11 Klima'!R242</f>
        <v>0</v>
      </c>
      <c r="T49" s="288"/>
      <c r="U49" s="288"/>
      <c r="V49" s="288"/>
      <c r="W49" s="288"/>
      <c r="X49" s="288"/>
      <c r="Y49" s="288"/>
      <c r="Z49" s="288"/>
      <c r="AA49" s="288"/>
      <c r="AB49" s="288"/>
      <c r="AC49" s="288"/>
    </row>
    <row r="50" spans="1:29" ht="15" thickBot="1" x14ac:dyDescent="0.35">
      <c r="A50" s="245"/>
      <c r="B50" s="582"/>
      <c r="C50" s="240" t="str">
        <f>IF('0 Úvod'!$M$10="English",Slovnik!D282,Slovnik!C282)</f>
        <v>Celkové externí náklady</v>
      </c>
      <c r="D50" s="241">
        <f t="shared" si="8"/>
        <v>0</v>
      </c>
      <c r="E50" s="615">
        <f>SUM(E44:E49)</f>
        <v>0</v>
      </c>
      <c r="F50" s="616">
        <f t="shared" ref="F50:S50" si="9">SUM(F44:F49)</f>
        <v>0</v>
      </c>
      <c r="G50" s="616">
        <f t="shared" si="9"/>
        <v>0</v>
      </c>
      <c r="H50" s="616">
        <f t="shared" si="9"/>
        <v>0</v>
      </c>
      <c r="I50" s="616">
        <f t="shared" si="9"/>
        <v>0</v>
      </c>
      <c r="J50" s="616">
        <f t="shared" si="9"/>
        <v>0</v>
      </c>
      <c r="K50" s="616">
        <f t="shared" si="9"/>
        <v>0</v>
      </c>
      <c r="L50" s="616">
        <f t="shared" si="9"/>
        <v>0</v>
      </c>
      <c r="M50" s="616">
        <f t="shared" si="9"/>
        <v>0</v>
      </c>
      <c r="N50" s="616">
        <f t="shared" si="9"/>
        <v>0</v>
      </c>
      <c r="O50" s="616">
        <f t="shared" si="9"/>
        <v>0</v>
      </c>
      <c r="P50" s="616">
        <f t="shared" si="9"/>
        <v>0</v>
      </c>
      <c r="Q50" s="616">
        <f t="shared" si="9"/>
        <v>0</v>
      </c>
      <c r="R50" s="616">
        <f t="shared" si="9"/>
        <v>0</v>
      </c>
      <c r="S50" s="617">
        <f t="shared" si="9"/>
        <v>0</v>
      </c>
      <c r="T50" s="237"/>
      <c r="U50" s="237"/>
      <c r="V50" s="237"/>
      <c r="W50" s="237"/>
      <c r="X50" s="237"/>
      <c r="Y50" s="237"/>
      <c r="Z50" s="237"/>
      <c r="AA50" s="237"/>
      <c r="AB50" s="237"/>
      <c r="AC50" s="237"/>
    </row>
    <row r="51" spans="1:29" ht="14.25" thickBot="1" x14ac:dyDescent="0.35">
      <c r="A51" s="245"/>
      <c r="B51" s="1349"/>
      <c r="C51" s="1165"/>
      <c r="D51" s="1167"/>
      <c r="E51" s="1167"/>
      <c r="F51" s="1167"/>
      <c r="G51" s="1167"/>
      <c r="H51" s="1167"/>
      <c r="I51" s="1167"/>
      <c r="J51" s="1167"/>
      <c r="K51" s="1167"/>
      <c r="L51" s="1167"/>
      <c r="M51" s="1167"/>
      <c r="N51" s="1167"/>
      <c r="O51" s="1167"/>
      <c r="P51" s="1167"/>
      <c r="Q51" s="1167"/>
      <c r="R51" s="1167"/>
      <c r="S51" s="1167"/>
      <c r="T51" s="236"/>
      <c r="U51" s="236"/>
      <c r="V51" s="236"/>
      <c r="W51" s="236"/>
      <c r="X51" s="236"/>
      <c r="Y51" s="236"/>
      <c r="Z51" s="236"/>
      <c r="AA51" s="236"/>
      <c r="AB51" s="236"/>
      <c r="AC51" s="236"/>
    </row>
    <row r="52" spans="1:29" ht="14.25" x14ac:dyDescent="0.3">
      <c r="A52" s="245"/>
      <c r="B52" s="290" t="str">
        <f>B42</f>
        <v>10.3.</v>
      </c>
      <c r="C52" s="272" t="str">
        <f>C42</f>
        <v>Externí náklady emisí, vlivy na ŽP (CZK)</v>
      </c>
      <c r="D52" s="274"/>
      <c r="E52" s="2129">
        <f>S42+1</f>
        <v>2041</v>
      </c>
      <c r="F52" s="2127">
        <f t="shared" ref="F52:S52" si="10">E52+1</f>
        <v>2042</v>
      </c>
      <c r="G52" s="2127">
        <f t="shared" si="10"/>
        <v>2043</v>
      </c>
      <c r="H52" s="2127">
        <f t="shared" si="10"/>
        <v>2044</v>
      </c>
      <c r="I52" s="2127">
        <f t="shared" si="10"/>
        <v>2045</v>
      </c>
      <c r="J52" s="2127">
        <f t="shared" si="10"/>
        <v>2046</v>
      </c>
      <c r="K52" s="2127">
        <f t="shared" si="10"/>
        <v>2047</v>
      </c>
      <c r="L52" s="2127">
        <f t="shared" si="10"/>
        <v>2048</v>
      </c>
      <c r="M52" s="2127">
        <f t="shared" si="10"/>
        <v>2049</v>
      </c>
      <c r="N52" s="2127">
        <f t="shared" si="10"/>
        <v>2050</v>
      </c>
      <c r="O52" s="2127">
        <f t="shared" si="10"/>
        <v>2051</v>
      </c>
      <c r="P52" s="2127">
        <f t="shared" si="10"/>
        <v>2052</v>
      </c>
      <c r="Q52" s="2127">
        <f t="shared" si="10"/>
        <v>2053</v>
      </c>
      <c r="R52" s="2127">
        <f t="shared" si="10"/>
        <v>2054</v>
      </c>
      <c r="S52" s="2125">
        <f t="shared" si="10"/>
        <v>2055</v>
      </c>
      <c r="T52" s="247"/>
      <c r="U52" s="247"/>
      <c r="V52" s="247"/>
      <c r="W52" s="247"/>
      <c r="X52" s="247"/>
      <c r="Y52" s="247"/>
      <c r="Z52" s="247"/>
      <c r="AA52" s="247"/>
      <c r="AB52" s="247"/>
      <c r="AC52" s="247"/>
    </row>
    <row r="53" spans="1:29" ht="14.25" x14ac:dyDescent="0.3">
      <c r="A53" s="245"/>
      <c r="B53" s="257" t="s">
        <v>5</v>
      </c>
      <c r="C53" s="590" t="str">
        <f t="shared" ref="C53:C60" si="11">C43</f>
        <v>Scénář s projektem</v>
      </c>
      <c r="D53" s="591"/>
      <c r="E53" s="2134"/>
      <c r="F53" s="2135"/>
      <c r="G53" s="2135"/>
      <c r="H53" s="2135"/>
      <c r="I53" s="2135"/>
      <c r="J53" s="2135"/>
      <c r="K53" s="2135"/>
      <c r="L53" s="2135"/>
      <c r="M53" s="2135"/>
      <c r="N53" s="2135"/>
      <c r="O53" s="2135"/>
      <c r="P53" s="2135"/>
      <c r="Q53" s="2135"/>
      <c r="R53" s="2135"/>
      <c r="S53" s="2136"/>
      <c r="T53" s="247"/>
      <c r="U53" s="247"/>
      <c r="V53" s="247"/>
      <c r="W53" s="247"/>
      <c r="X53" s="247"/>
      <c r="Y53" s="247"/>
      <c r="Z53" s="247"/>
      <c r="AA53" s="247"/>
      <c r="AB53" s="247"/>
      <c r="AC53" s="247"/>
    </row>
    <row r="54" spans="1:29" ht="12" customHeight="1" x14ac:dyDescent="0.3">
      <c r="A54" s="245"/>
      <c r="B54" s="1350" t="str">
        <f t="shared" ref="B54:B59" si="12">B44</f>
        <v>BUS</v>
      </c>
      <c r="C54" s="1351" t="str">
        <f t="shared" si="11"/>
        <v xml:space="preserve">Znečištění ovzduší (emise) </v>
      </c>
      <c r="D54" s="1346"/>
      <c r="E54" s="1510">
        <f>E14*E221*E$196*$H180*'11 Klima'!D244</f>
        <v>0</v>
      </c>
      <c r="F54" s="1347">
        <f>F14*F221*F$196*$H180*'11 Klima'!E244</f>
        <v>0</v>
      </c>
      <c r="G54" s="1347">
        <f>G14*G221*G$196*$H180*'11 Klima'!F244</f>
        <v>0</v>
      </c>
      <c r="H54" s="1347">
        <f>H14*H221*H$196*$H180*'11 Klima'!G244</f>
        <v>0</v>
      </c>
      <c r="I54" s="1347">
        <f>I14*I221*I$196*$H180*'11 Klima'!H244</f>
        <v>0</v>
      </c>
      <c r="J54" s="1347">
        <f>J14*J221*J$196*$H180*'11 Klima'!I244</f>
        <v>0</v>
      </c>
      <c r="K54" s="1347">
        <f>K14*K221*K$196*$H180*'11 Klima'!J244</f>
        <v>0</v>
      </c>
      <c r="L54" s="1347">
        <f>L14*L221*L$196*$H180*'11 Klima'!K244</f>
        <v>0</v>
      </c>
      <c r="M54" s="1347">
        <f>M14*M221*M$196*$H180*'11 Klima'!L244</f>
        <v>0</v>
      </c>
      <c r="N54" s="1347">
        <f>N14*N221*N$196*$H180*'11 Klima'!M244</f>
        <v>0</v>
      </c>
      <c r="O54" s="1347">
        <f>O14*O221*O$196*$H180*'11 Klima'!N244</f>
        <v>0</v>
      </c>
      <c r="P54" s="1347">
        <f>P14*P221*P$196*$H180*'11 Klima'!O244</f>
        <v>0</v>
      </c>
      <c r="Q54" s="1347">
        <f>Q14*Q221*Q$196*$H180*'11 Klima'!P244</f>
        <v>0</v>
      </c>
      <c r="R54" s="1347">
        <f>R14*R221*R$196*$H180*'11 Klima'!Q244</f>
        <v>0</v>
      </c>
      <c r="S54" s="1348">
        <f>S14*S221*S$196*$H180*'11 Klima'!R244</f>
        <v>0</v>
      </c>
      <c r="T54" s="236"/>
      <c r="U54" s="236"/>
      <c r="V54" s="236"/>
      <c r="W54" s="236"/>
      <c r="X54" s="236"/>
      <c r="Y54" s="236"/>
      <c r="Z54" s="236"/>
      <c r="AA54" s="236"/>
      <c r="AB54" s="236"/>
      <c r="AC54" s="236"/>
    </row>
    <row r="55" spans="1:29" s="289" customFormat="1" ht="12" customHeight="1" x14ac:dyDescent="0.3">
      <c r="A55" s="287"/>
      <c r="B55" s="1352" t="str">
        <f t="shared" si="12"/>
        <v>Trolejbus</v>
      </c>
      <c r="C55" s="1353" t="str">
        <f t="shared" si="11"/>
        <v xml:space="preserve">Znečištění ovzduší (emise) </v>
      </c>
      <c r="D55" s="1346"/>
      <c r="E55" s="1510">
        <f>E15*E222*E$196*$H181*'11 Klima'!D245</f>
        <v>0</v>
      </c>
      <c r="F55" s="1347">
        <f>F15*F222*F$196*$H181*'11 Klima'!E245</f>
        <v>0</v>
      </c>
      <c r="G55" s="1347">
        <f>G15*G222*G$196*$H181*'11 Klima'!F245</f>
        <v>0</v>
      </c>
      <c r="H55" s="1347">
        <f>H15*H222*H$196*$H181*'11 Klima'!G245</f>
        <v>0</v>
      </c>
      <c r="I55" s="1347">
        <f>I15*I222*I$196*$H181*'11 Klima'!H245</f>
        <v>0</v>
      </c>
      <c r="J55" s="1347">
        <f>J15*J222*J$196*$H181*'11 Klima'!I245</f>
        <v>0</v>
      </c>
      <c r="K55" s="1347">
        <f>K15*K222*K$196*$H181*'11 Klima'!J245</f>
        <v>0</v>
      </c>
      <c r="L55" s="1347">
        <f>L15*L222*L$196*$H181*'11 Klima'!K245</f>
        <v>0</v>
      </c>
      <c r="M55" s="1347">
        <f>M15*M222*M$196*$H181*'11 Klima'!L245</f>
        <v>0</v>
      </c>
      <c r="N55" s="1347">
        <f>N15*N222*N$196*$H181*'11 Klima'!M245</f>
        <v>0</v>
      </c>
      <c r="O55" s="1347">
        <f>O15*O222*O$196*$H181*'11 Klima'!N245</f>
        <v>0</v>
      </c>
      <c r="P55" s="1347">
        <f>P15*P222*P$196*$H181*'11 Klima'!O245</f>
        <v>0</v>
      </c>
      <c r="Q55" s="1347">
        <f>Q15*Q222*Q$196*$H181*'11 Klima'!P245</f>
        <v>0</v>
      </c>
      <c r="R55" s="1347">
        <f>R15*R222*R$196*$H181*'11 Klima'!Q245</f>
        <v>0</v>
      </c>
      <c r="S55" s="1348">
        <f>S15*S222*S$196*$H181*'11 Klima'!R245</f>
        <v>0</v>
      </c>
      <c r="T55" s="288"/>
      <c r="U55" s="288"/>
      <c r="V55" s="288"/>
      <c r="W55" s="288"/>
      <c r="X55" s="288"/>
      <c r="Y55" s="288"/>
      <c r="Z55" s="288"/>
      <c r="AA55" s="288"/>
      <c r="AB55" s="288"/>
      <c r="AC55" s="288"/>
    </row>
    <row r="56" spans="1:29" ht="12" customHeight="1" x14ac:dyDescent="0.3">
      <c r="A56" s="245"/>
      <c r="B56" s="1352" t="str">
        <f t="shared" si="12"/>
        <v>Tramvaj</v>
      </c>
      <c r="C56" s="1353" t="str">
        <f t="shared" si="11"/>
        <v xml:space="preserve">Znečištění ovzduší (emise) </v>
      </c>
      <c r="D56" s="1346"/>
      <c r="E56" s="1510">
        <f>E16*E223*E$196*$H182*'11 Klima'!D246</f>
        <v>0</v>
      </c>
      <c r="F56" s="1347">
        <f>F16*F223*F$196*$H182*'11 Klima'!E246</f>
        <v>0</v>
      </c>
      <c r="G56" s="1347">
        <f>G16*G223*G$196*$H182*'11 Klima'!F246</f>
        <v>0</v>
      </c>
      <c r="H56" s="1347">
        <f>H16*H223*H$196*$H182*'11 Klima'!G246</f>
        <v>0</v>
      </c>
      <c r="I56" s="1347">
        <f>I16*I223*I$196*$H182*'11 Klima'!H246</f>
        <v>0</v>
      </c>
      <c r="J56" s="1347">
        <f>J16*J223*J$196*$H182*'11 Klima'!I246</f>
        <v>0</v>
      </c>
      <c r="K56" s="1347">
        <f>K16*K223*K$196*$H182*'11 Klima'!J246</f>
        <v>0</v>
      </c>
      <c r="L56" s="1347">
        <f>L16*L223*L$196*$H182*'11 Klima'!K246</f>
        <v>0</v>
      </c>
      <c r="M56" s="1347">
        <f>M16*M223*M$196*$H182*'11 Klima'!L246</f>
        <v>0</v>
      </c>
      <c r="N56" s="1347">
        <f>N16*N223*N$196*$H182*'11 Klima'!M246</f>
        <v>0</v>
      </c>
      <c r="O56" s="1347">
        <f>O16*O223*O$196*$H182*'11 Klima'!N246</f>
        <v>0</v>
      </c>
      <c r="P56" s="1347">
        <f>P16*P223*P$196*$H182*'11 Klima'!O246</f>
        <v>0</v>
      </c>
      <c r="Q56" s="1347">
        <f>Q16*Q223*Q$196*$H182*'11 Klima'!P246</f>
        <v>0</v>
      </c>
      <c r="R56" s="1347">
        <f>R16*R223*R$196*$H182*'11 Klima'!Q246</f>
        <v>0</v>
      </c>
      <c r="S56" s="1348">
        <f>S16*S223*S$196*$H182*'11 Klima'!R246</f>
        <v>0</v>
      </c>
      <c r="T56" s="236"/>
      <c r="U56" s="236"/>
      <c r="V56" s="236"/>
      <c r="W56" s="236"/>
      <c r="X56" s="236"/>
      <c r="Y56" s="236"/>
      <c r="Z56" s="236"/>
      <c r="AA56" s="236"/>
      <c r="AB56" s="236"/>
      <c r="AC56" s="236"/>
    </row>
    <row r="57" spans="1:29" s="289" customFormat="1" ht="12" customHeight="1" x14ac:dyDescent="0.3">
      <c r="A57" s="287"/>
      <c r="B57" s="1352" t="str">
        <f t="shared" si="12"/>
        <v>Metro</v>
      </c>
      <c r="C57" s="1353" t="str">
        <f t="shared" si="11"/>
        <v xml:space="preserve">Znečištění ovzduší (emise) </v>
      </c>
      <c r="D57" s="1346"/>
      <c r="E57" s="1510">
        <f>E17*E224*E$196*$H183*'11 Klima'!D247</f>
        <v>0</v>
      </c>
      <c r="F57" s="1347">
        <f>F17*F224*F$196*$H183*'11 Klima'!E247</f>
        <v>0</v>
      </c>
      <c r="G57" s="1347">
        <f>G17*G224*G$196*$H183*'11 Klima'!F247</f>
        <v>0</v>
      </c>
      <c r="H57" s="1347">
        <f>H17*H224*H$196*$H183*'11 Klima'!G247</f>
        <v>0</v>
      </c>
      <c r="I57" s="1347">
        <f>I17*I224*I$196*$H183*'11 Klima'!H247</f>
        <v>0</v>
      </c>
      <c r="J57" s="1347">
        <f>J17*J224*J$196*$H183*'11 Klima'!I247</f>
        <v>0</v>
      </c>
      <c r="K57" s="1347">
        <f>K17*K224*K$196*$H183*'11 Klima'!J247</f>
        <v>0</v>
      </c>
      <c r="L57" s="1347">
        <f>L17*L224*L$196*$H183*'11 Klima'!K247</f>
        <v>0</v>
      </c>
      <c r="M57" s="1347">
        <f>M17*M224*M$196*$H183*'11 Klima'!L247</f>
        <v>0</v>
      </c>
      <c r="N57" s="1347">
        <f>N17*N224*N$196*$H183*'11 Klima'!M247</f>
        <v>0</v>
      </c>
      <c r="O57" s="1347">
        <f>O17*O224*O$196*$H183*'11 Klima'!N247</f>
        <v>0</v>
      </c>
      <c r="P57" s="1347">
        <f>P17*P224*P$196*$H183*'11 Klima'!O247</f>
        <v>0</v>
      </c>
      <c r="Q57" s="1347">
        <f>Q17*Q224*Q$196*$H183*'11 Klima'!P247</f>
        <v>0</v>
      </c>
      <c r="R57" s="1347">
        <f>R17*R224*R$196*$H183*'11 Klima'!Q247</f>
        <v>0</v>
      </c>
      <c r="S57" s="1348">
        <f>S17*S224*S$196*$H183*'11 Klima'!R247</f>
        <v>0</v>
      </c>
      <c r="T57" s="288"/>
      <c r="U57" s="288"/>
      <c r="V57" s="288"/>
      <c r="W57" s="288"/>
      <c r="X57" s="288"/>
      <c r="Y57" s="288"/>
      <c r="Z57" s="288"/>
      <c r="AA57" s="288"/>
      <c r="AB57" s="288"/>
      <c r="AC57" s="288"/>
    </row>
    <row r="58" spans="1:29" s="289" customFormat="1" ht="12" customHeight="1" x14ac:dyDescent="0.3">
      <c r="A58" s="287"/>
      <c r="B58" s="1352" t="str">
        <f t="shared" si="12"/>
        <v>IAD</v>
      </c>
      <c r="C58" s="1353" t="str">
        <f t="shared" si="11"/>
        <v xml:space="preserve">Znečištění ovzduší (emise) </v>
      </c>
      <c r="D58" s="1346"/>
      <c r="E58" s="1510">
        <f>E18*E225*E$196*$H184*'11 Klima'!D248</f>
        <v>0</v>
      </c>
      <c r="F58" s="1347">
        <f>F18*F225*F$196*$H184*'11 Klima'!E248</f>
        <v>0</v>
      </c>
      <c r="G58" s="1347">
        <f>G18*G225*G$196*$H184*'11 Klima'!F248</f>
        <v>0</v>
      </c>
      <c r="H58" s="1347">
        <f>H18*H225*H$196*$H184*'11 Klima'!G248</f>
        <v>0</v>
      </c>
      <c r="I58" s="1347">
        <f>I18*I225*I$196*$H184*'11 Klima'!H248</f>
        <v>0</v>
      </c>
      <c r="J58" s="1347">
        <f>J18*J225*J$196*$H184*'11 Klima'!I248</f>
        <v>0</v>
      </c>
      <c r="K58" s="1347">
        <f>K18*K225*K$196*$H184*'11 Klima'!J248</f>
        <v>0</v>
      </c>
      <c r="L58" s="1347">
        <f>L18*L225*L$196*$H184*'11 Klima'!K248</f>
        <v>0</v>
      </c>
      <c r="M58" s="1347">
        <f>M18*M225*M$196*$H184*'11 Klima'!L248</f>
        <v>0</v>
      </c>
      <c r="N58" s="1347">
        <f>N18*N225*N$196*$H184*'11 Klima'!M248</f>
        <v>0</v>
      </c>
      <c r="O58" s="1347">
        <f>O18*O225*O$196*$H184*'11 Klima'!N248</f>
        <v>0</v>
      </c>
      <c r="P58" s="1347">
        <f>P18*P225*P$196*$H184*'11 Klima'!O248</f>
        <v>0</v>
      </c>
      <c r="Q58" s="1347">
        <f>Q18*Q225*Q$196*$H184*'11 Klima'!P248</f>
        <v>0</v>
      </c>
      <c r="R58" s="1347">
        <f>R18*R225*R$196*$H184*'11 Klima'!Q248</f>
        <v>0</v>
      </c>
      <c r="S58" s="1348">
        <f>S18*S225*S$196*$H184*'11 Klima'!R248</f>
        <v>0</v>
      </c>
      <c r="T58" s="288"/>
      <c r="U58" s="288"/>
      <c r="V58" s="288"/>
      <c r="W58" s="288"/>
      <c r="X58" s="288"/>
      <c r="Y58" s="288"/>
      <c r="Z58" s="288"/>
      <c r="AA58" s="288"/>
      <c r="AB58" s="288"/>
      <c r="AC58" s="288"/>
    </row>
    <row r="59" spans="1:29" s="289" customFormat="1" ht="14.25" x14ac:dyDescent="0.3">
      <c r="A59" s="287"/>
      <c r="B59" s="1354" t="str">
        <f t="shared" si="12"/>
        <v>bez rozlišení</v>
      </c>
      <c r="C59" s="1355" t="str">
        <f t="shared" si="11"/>
        <v xml:space="preserve">Znečištění ovzduší (emise) </v>
      </c>
      <c r="D59" s="1346"/>
      <c r="E59" s="1510">
        <f>E19*E226*E$196*$H185*'11 Klima'!D249</f>
        <v>0</v>
      </c>
      <c r="F59" s="1347">
        <f>F19*F226*F$196*$H185*'11 Klima'!E249</f>
        <v>0</v>
      </c>
      <c r="G59" s="1347">
        <f>G19*G226*G$196*$H185*'11 Klima'!F249</f>
        <v>0</v>
      </c>
      <c r="H59" s="1347">
        <f>H19*H226*H$196*$H185*'11 Klima'!G249</f>
        <v>0</v>
      </c>
      <c r="I59" s="1347">
        <f>I19*I226*I$196*$H185*'11 Klima'!H249</f>
        <v>0</v>
      </c>
      <c r="J59" s="1347">
        <f>J19*J226*J$196*$H185*'11 Klima'!I249</f>
        <v>0</v>
      </c>
      <c r="K59" s="1347">
        <f>K19*K226*K$196*$H185*'11 Klima'!J249</f>
        <v>0</v>
      </c>
      <c r="L59" s="1347">
        <f>L19*L226*L$196*$H185*'11 Klima'!K249</f>
        <v>0</v>
      </c>
      <c r="M59" s="1347">
        <f>M19*M226*M$196*$H185*'11 Klima'!L249</f>
        <v>0</v>
      </c>
      <c r="N59" s="1347">
        <f>N19*N226*N$196*$H185*'11 Klima'!M249</f>
        <v>0</v>
      </c>
      <c r="O59" s="1347">
        <f>O19*O226*O$196*$H185*'11 Klima'!N249</f>
        <v>0</v>
      </c>
      <c r="P59" s="1347">
        <f>P19*P226*P$196*$H185*'11 Klima'!O249</f>
        <v>0</v>
      </c>
      <c r="Q59" s="1347">
        <f>Q19*Q226*Q$196*$H185*'11 Klima'!P249</f>
        <v>0</v>
      </c>
      <c r="R59" s="1347">
        <f>R19*R226*R$196*$H185*'11 Klima'!Q249</f>
        <v>0</v>
      </c>
      <c r="S59" s="1348">
        <f>S19*S226*S$196*$H185*'11 Klima'!R249</f>
        <v>0</v>
      </c>
      <c r="T59" s="288"/>
      <c r="U59" s="288"/>
      <c r="V59" s="288"/>
      <c r="W59" s="288"/>
      <c r="X59" s="288"/>
      <c r="Y59" s="288"/>
      <c r="Z59" s="288"/>
      <c r="AA59" s="288"/>
      <c r="AB59" s="288"/>
      <c r="AC59" s="288"/>
    </row>
    <row r="60" spans="1:29" ht="15" thickBot="1" x14ac:dyDescent="0.35">
      <c r="A60" s="252"/>
      <c r="B60" s="582"/>
      <c r="C60" s="240" t="str">
        <f t="shared" si="11"/>
        <v>Celkové externí náklady</v>
      </c>
      <c r="D60" s="241"/>
      <c r="E60" s="615">
        <f>SUM(E54:E59)</f>
        <v>0</v>
      </c>
      <c r="F60" s="616">
        <f t="shared" ref="F60:S60" si="13">SUM(F54:F59)</f>
        <v>0</v>
      </c>
      <c r="G60" s="616">
        <f t="shared" si="13"/>
        <v>0</v>
      </c>
      <c r="H60" s="616">
        <f t="shared" si="13"/>
        <v>0</v>
      </c>
      <c r="I60" s="616">
        <f t="shared" si="13"/>
        <v>0</v>
      </c>
      <c r="J60" s="616">
        <f t="shared" si="13"/>
        <v>0</v>
      </c>
      <c r="K60" s="616">
        <f t="shared" si="13"/>
        <v>0</v>
      </c>
      <c r="L60" s="616">
        <f t="shared" si="13"/>
        <v>0</v>
      </c>
      <c r="M60" s="616">
        <f t="shared" si="13"/>
        <v>0</v>
      </c>
      <c r="N60" s="616">
        <f t="shared" si="13"/>
        <v>0</v>
      </c>
      <c r="O60" s="616">
        <f t="shared" si="13"/>
        <v>0</v>
      </c>
      <c r="P60" s="616">
        <f t="shared" si="13"/>
        <v>0</v>
      </c>
      <c r="Q60" s="616">
        <f t="shared" si="13"/>
        <v>0</v>
      </c>
      <c r="R60" s="616">
        <f t="shared" si="13"/>
        <v>0</v>
      </c>
      <c r="S60" s="617">
        <f t="shared" si="13"/>
        <v>0</v>
      </c>
      <c r="T60" s="237"/>
      <c r="U60" s="237"/>
      <c r="V60" s="237"/>
      <c r="W60" s="237"/>
      <c r="X60" s="237"/>
      <c r="Y60" s="237"/>
      <c r="Z60" s="237"/>
      <c r="AA60" s="237"/>
      <c r="AB60" s="237"/>
      <c r="AC60" s="237"/>
    </row>
    <row r="61" spans="1:29" ht="14.25" thickBot="1" x14ac:dyDescent="0.35">
      <c r="A61" s="252"/>
      <c r="B61" s="609"/>
      <c r="C61" s="1356"/>
      <c r="D61" s="1167"/>
      <c r="E61" s="1166"/>
      <c r="F61" s="1166"/>
      <c r="G61" s="1166"/>
      <c r="H61" s="1166"/>
      <c r="I61" s="1166"/>
      <c r="J61" s="1166"/>
      <c r="K61" s="1166"/>
      <c r="L61" s="1166"/>
      <c r="M61" s="1166"/>
      <c r="N61" s="1166"/>
      <c r="O61" s="1166"/>
      <c r="P61" s="1166"/>
      <c r="Q61" s="1166"/>
      <c r="R61" s="1166"/>
      <c r="S61" s="1166"/>
      <c r="T61" s="237"/>
      <c r="U61" s="237"/>
      <c r="V61" s="237"/>
      <c r="W61" s="237"/>
      <c r="X61" s="237"/>
      <c r="Y61" s="237"/>
      <c r="Z61" s="237"/>
      <c r="AA61" s="237"/>
      <c r="AB61" s="237"/>
      <c r="AC61" s="237"/>
    </row>
    <row r="62" spans="1:29" ht="14.25" x14ac:dyDescent="0.3">
      <c r="A62" s="245"/>
      <c r="B62" s="291" t="s">
        <v>1499</v>
      </c>
      <c r="C62" s="292" t="str">
        <f>C52</f>
        <v>Externí náklady emisí, vlivy na ŽP (CZK)</v>
      </c>
      <c r="D62" s="293"/>
      <c r="E62" s="2119">
        <f>E42</f>
        <v>2026</v>
      </c>
      <c r="F62" s="2121">
        <f t="shared" ref="F62:S62" si="14">E62+1</f>
        <v>2027</v>
      </c>
      <c r="G62" s="2121">
        <f t="shared" si="14"/>
        <v>2028</v>
      </c>
      <c r="H62" s="2121">
        <f t="shared" si="14"/>
        <v>2029</v>
      </c>
      <c r="I62" s="2121">
        <f t="shared" si="14"/>
        <v>2030</v>
      </c>
      <c r="J62" s="2121">
        <f t="shared" si="14"/>
        <v>2031</v>
      </c>
      <c r="K62" s="2121">
        <f t="shared" si="14"/>
        <v>2032</v>
      </c>
      <c r="L62" s="2121">
        <f t="shared" si="14"/>
        <v>2033</v>
      </c>
      <c r="M62" s="2121">
        <f t="shared" si="14"/>
        <v>2034</v>
      </c>
      <c r="N62" s="2121">
        <f t="shared" si="14"/>
        <v>2035</v>
      </c>
      <c r="O62" s="2121">
        <f t="shared" si="14"/>
        <v>2036</v>
      </c>
      <c r="P62" s="2121">
        <f t="shared" si="14"/>
        <v>2037</v>
      </c>
      <c r="Q62" s="2121">
        <f t="shared" si="14"/>
        <v>2038</v>
      </c>
      <c r="R62" s="2121">
        <f t="shared" si="14"/>
        <v>2039</v>
      </c>
      <c r="S62" s="2123">
        <f t="shared" si="14"/>
        <v>2040</v>
      </c>
      <c r="T62" s="247"/>
      <c r="U62" s="247"/>
      <c r="V62" s="247"/>
      <c r="W62" s="247"/>
      <c r="X62" s="247"/>
      <c r="Y62" s="247"/>
      <c r="Z62" s="247"/>
      <c r="AA62" s="247"/>
      <c r="AB62" s="247"/>
      <c r="AC62" s="247"/>
    </row>
    <row r="63" spans="1:29" ht="15" thickBot="1" x14ac:dyDescent="0.35">
      <c r="A63" s="245"/>
      <c r="B63" s="1357" t="s">
        <v>4</v>
      </c>
      <c r="C63" s="1358" t="str">
        <f>IF('0 Úvod'!$M$10="English",Slovnik!$D$283,Slovnik!$C$283)</f>
        <v>Scénář bez projektu</v>
      </c>
      <c r="D63" s="295" t="str">
        <f>D43</f>
        <v>Celkem</v>
      </c>
      <c r="E63" s="2142"/>
      <c r="F63" s="2122"/>
      <c r="G63" s="2122"/>
      <c r="H63" s="2122"/>
      <c r="I63" s="2122"/>
      <c r="J63" s="2122"/>
      <c r="K63" s="2122"/>
      <c r="L63" s="2122"/>
      <c r="M63" s="2122"/>
      <c r="N63" s="2122"/>
      <c r="O63" s="2122"/>
      <c r="P63" s="2122"/>
      <c r="Q63" s="2122"/>
      <c r="R63" s="2122"/>
      <c r="S63" s="2124"/>
      <c r="T63" s="247"/>
      <c r="U63" s="247"/>
      <c r="V63" s="247"/>
      <c r="W63" s="247"/>
      <c r="X63" s="247"/>
      <c r="Y63" s="247"/>
      <c r="Z63" s="247"/>
      <c r="AA63" s="247"/>
      <c r="AB63" s="247"/>
      <c r="AC63" s="247"/>
    </row>
    <row r="64" spans="1:29" ht="12" customHeight="1" x14ac:dyDescent="0.3">
      <c r="A64" s="245"/>
      <c r="B64" s="1359" t="str">
        <f t="shared" ref="B64:C69" si="15">B54</f>
        <v>BUS</v>
      </c>
      <c r="C64" s="1351" t="str">
        <f t="shared" si="15"/>
        <v xml:space="preserve">Znečištění ovzduší (emise) </v>
      </c>
      <c r="D64" s="1346">
        <f t="shared" ref="D64:D70" si="16">SUM(E64:S64,E74:S74)</f>
        <v>0</v>
      </c>
      <c r="E64" s="1510">
        <f>E24*E231*E$191*$H180*'11 Klima'!D237</f>
        <v>0</v>
      </c>
      <c r="F64" s="1347">
        <f>F24*F231*F$191*$H180*'11 Klima'!E237</f>
        <v>0</v>
      </c>
      <c r="G64" s="1347">
        <f>G24*G231*G$191*$H180*'11 Klima'!F237</f>
        <v>0</v>
      </c>
      <c r="H64" s="1347">
        <f>H24*H231*H$191*$H180*'11 Klima'!G237</f>
        <v>0</v>
      </c>
      <c r="I64" s="1347">
        <f>I24*I231*I$191*$H180*'11 Klima'!H237</f>
        <v>0</v>
      </c>
      <c r="J64" s="1347">
        <f>J24*J231*J$191*$H180*'11 Klima'!I237</f>
        <v>0</v>
      </c>
      <c r="K64" s="1347">
        <f>K24*K231*K$191*$H180*'11 Klima'!J237</f>
        <v>0</v>
      </c>
      <c r="L64" s="1347">
        <f>L24*L231*L$191*$H180*'11 Klima'!K237</f>
        <v>0</v>
      </c>
      <c r="M64" s="1347">
        <f>M24*M231*M$191*$H180*'11 Klima'!L237</f>
        <v>0</v>
      </c>
      <c r="N64" s="1347">
        <f>N24*N231*N$191*$H180*'11 Klima'!M237</f>
        <v>0</v>
      </c>
      <c r="O64" s="1347">
        <f>O24*O231*O$191*$H180*'11 Klima'!N237</f>
        <v>0</v>
      </c>
      <c r="P64" s="1347">
        <f>P24*P231*P$191*$H180*'11 Klima'!O237</f>
        <v>0</v>
      </c>
      <c r="Q64" s="1347">
        <f>Q24*Q231*Q$191*$H180*'11 Klima'!P237</f>
        <v>0</v>
      </c>
      <c r="R64" s="1347">
        <f>R24*R231*R$191*$H180*'11 Klima'!Q237</f>
        <v>0</v>
      </c>
      <c r="S64" s="1348">
        <f>S24*S231*S$191*$H180*'11 Klima'!R237</f>
        <v>0</v>
      </c>
      <c r="T64" s="236"/>
      <c r="U64" s="236"/>
      <c r="V64" s="236"/>
      <c r="W64" s="236"/>
      <c r="X64" s="236"/>
      <c r="Y64" s="236"/>
      <c r="Z64" s="236"/>
      <c r="AA64" s="236"/>
      <c r="AB64" s="236"/>
      <c r="AC64" s="236"/>
    </row>
    <row r="65" spans="1:29" s="289" customFormat="1" ht="12" customHeight="1" x14ac:dyDescent="0.3">
      <c r="A65" s="287"/>
      <c r="B65" s="1345" t="str">
        <f t="shared" si="15"/>
        <v>Trolejbus</v>
      </c>
      <c r="C65" s="1353" t="str">
        <f t="shared" si="15"/>
        <v xml:space="preserve">Znečištění ovzduší (emise) </v>
      </c>
      <c r="D65" s="1346">
        <f t="shared" si="16"/>
        <v>0</v>
      </c>
      <c r="E65" s="1510">
        <f>E25*E232*E$191*$H181*'11 Klima'!D238</f>
        <v>0</v>
      </c>
      <c r="F65" s="1347">
        <f>F25*F232*F$191*$H181*'11 Klima'!E238</f>
        <v>0</v>
      </c>
      <c r="G65" s="1347">
        <f>G25*G232*G$191*$H181*'11 Klima'!F238</f>
        <v>0</v>
      </c>
      <c r="H65" s="1347">
        <f>H25*H232*H$191*$H181*'11 Klima'!G238</f>
        <v>0</v>
      </c>
      <c r="I65" s="1347">
        <f>I25*I232*I$191*$H181*'11 Klima'!H238</f>
        <v>0</v>
      </c>
      <c r="J65" s="1347">
        <f>J25*J232*J$191*$H181*'11 Klima'!I238</f>
        <v>0</v>
      </c>
      <c r="K65" s="1347">
        <f>K25*K232*K$191*$H181*'11 Klima'!J238</f>
        <v>0</v>
      </c>
      <c r="L65" s="1347">
        <f>L25*L232*L$191*$H181*'11 Klima'!K238</f>
        <v>0</v>
      </c>
      <c r="M65" s="1347">
        <f>M25*M232*M$191*$H181*'11 Klima'!L238</f>
        <v>0</v>
      </c>
      <c r="N65" s="1347">
        <f>N25*N232*N$191*$H181*'11 Klima'!M238</f>
        <v>0</v>
      </c>
      <c r="O65" s="1347">
        <f>O25*O232*O$191*$H181*'11 Klima'!N238</f>
        <v>0</v>
      </c>
      <c r="P65" s="1347">
        <f>P25*P232*P$191*$H181*'11 Klima'!O238</f>
        <v>0</v>
      </c>
      <c r="Q65" s="1347">
        <f>Q25*Q232*Q$191*$H181*'11 Klima'!P238</f>
        <v>0</v>
      </c>
      <c r="R65" s="1347">
        <f>R25*R232*R$191*$H181*'11 Klima'!Q238</f>
        <v>0</v>
      </c>
      <c r="S65" s="1348">
        <f>S25*S232*S$191*$H181*'11 Klima'!R238</f>
        <v>0</v>
      </c>
      <c r="T65" s="288"/>
      <c r="U65" s="288"/>
      <c r="V65" s="288"/>
      <c r="W65" s="288"/>
      <c r="X65" s="288"/>
      <c r="Y65" s="288"/>
      <c r="Z65" s="288"/>
      <c r="AA65" s="288"/>
      <c r="AB65" s="288"/>
      <c r="AC65" s="288"/>
    </row>
    <row r="66" spans="1:29" ht="12" customHeight="1" x14ac:dyDescent="0.3">
      <c r="A66" s="245"/>
      <c r="B66" s="1345" t="str">
        <f t="shared" si="15"/>
        <v>Tramvaj</v>
      </c>
      <c r="C66" s="1353" t="str">
        <f t="shared" si="15"/>
        <v xml:space="preserve">Znečištění ovzduší (emise) </v>
      </c>
      <c r="D66" s="1346">
        <f t="shared" si="16"/>
        <v>0</v>
      </c>
      <c r="E66" s="1510">
        <f>E26*E233*E$191*$H182*'11 Klima'!D239</f>
        <v>0</v>
      </c>
      <c r="F66" s="1347">
        <f>F26*F233*F$191*$H182*'11 Klima'!E239</f>
        <v>0</v>
      </c>
      <c r="G66" s="1347">
        <f>G26*G233*G$191*$H182*'11 Klima'!F239</f>
        <v>0</v>
      </c>
      <c r="H66" s="1347">
        <f>H26*H233*H$191*$H182*'11 Klima'!G239</f>
        <v>0</v>
      </c>
      <c r="I66" s="1347">
        <f>I26*I233*I$191*$H182*'11 Klima'!H239</f>
        <v>0</v>
      </c>
      <c r="J66" s="1347">
        <f>J26*J233*J$191*$H182*'11 Klima'!I239</f>
        <v>0</v>
      </c>
      <c r="K66" s="1347">
        <f>K26*K233*K$191*$H182*'11 Klima'!J239</f>
        <v>0</v>
      </c>
      <c r="L66" s="1347">
        <f>L26*L233*L$191*$H182*'11 Klima'!K239</f>
        <v>0</v>
      </c>
      <c r="M66" s="1347">
        <f>M26*M233*M$191*$H182*'11 Klima'!L239</f>
        <v>0</v>
      </c>
      <c r="N66" s="1347">
        <f>N26*N233*N$191*$H182*'11 Klima'!M239</f>
        <v>0</v>
      </c>
      <c r="O66" s="1347">
        <f>O26*O233*O$191*$H182*'11 Klima'!N239</f>
        <v>0</v>
      </c>
      <c r="P66" s="1347">
        <f>P26*P233*P$191*$H182*'11 Klima'!O239</f>
        <v>0</v>
      </c>
      <c r="Q66" s="1347">
        <f>Q26*Q233*Q$191*$H182*'11 Klima'!P239</f>
        <v>0</v>
      </c>
      <c r="R66" s="1347">
        <f>R26*R233*R$191*$H182*'11 Klima'!Q239</f>
        <v>0</v>
      </c>
      <c r="S66" s="1348">
        <f>S26*S233*S$191*$H182*'11 Klima'!R239</f>
        <v>0</v>
      </c>
      <c r="T66" s="236"/>
      <c r="U66" s="236"/>
      <c r="V66" s="236"/>
      <c r="W66" s="236"/>
      <c r="X66" s="236"/>
      <c r="Y66" s="236"/>
      <c r="Z66" s="236"/>
      <c r="AA66" s="236"/>
      <c r="AB66" s="236"/>
      <c r="AC66" s="236"/>
    </row>
    <row r="67" spans="1:29" s="289" customFormat="1" ht="12" customHeight="1" x14ac:dyDescent="0.3">
      <c r="A67" s="287"/>
      <c r="B67" s="1345" t="str">
        <f t="shared" si="15"/>
        <v>Metro</v>
      </c>
      <c r="C67" s="1353" t="str">
        <f t="shared" si="15"/>
        <v xml:space="preserve">Znečištění ovzduší (emise) </v>
      </c>
      <c r="D67" s="1346">
        <f t="shared" si="16"/>
        <v>0</v>
      </c>
      <c r="E67" s="1510">
        <f>E27*E234*E$191*$H183*'11 Klima'!D240</f>
        <v>0</v>
      </c>
      <c r="F67" s="1347">
        <f>F27*F234*F$191*$H183*'11 Klima'!E240</f>
        <v>0</v>
      </c>
      <c r="G67" s="1347">
        <f>G27*G234*G$191*$H183*'11 Klima'!F240</f>
        <v>0</v>
      </c>
      <c r="H67" s="1347">
        <f>H27*H234*H$191*$H183*'11 Klima'!G240</f>
        <v>0</v>
      </c>
      <c r="I67" s="1347">
        <f>I27*I234*I$191*$H183*'11 Klima'!H240</f>
        <v>0</v>
      </c>
      <c r="J67" s="1347">
        <f>J27*J234*J$191*$H183*'11 Klima'!I240</f>
        <v>0</v>
      </c>
      <c r="K67" s="1347">
        <f>K27*K234*K$191*$H183*'11 Klima'!J240</f>
        <v>0</v>
      </c>
      <c r="L67" s="1347">
        <f>L27*L234*L$191*$H183*'11 Klima'!K240</f>
        <v>0</v>
      </c>
      <c r="M67" s="1347">
        <f>M27*M234*M$191*$H183*'11 Klima'!L240</f>
        <v>0</v>
      </c>
      <c r="N67" s="1347">
        <f>N27*N234*N$191*$H183*'11 Klima'!M240</f>
        <v>0</v>
      </c>
      <c r="O67" s="1347">
        <f>O27*O234*O$191*$H183*'11 Klima'!N240</f>
        <v>0</v>
      </c>
      <c r="P67" s="1347">
        <f>P27*P234*P$191*$H183*'11 Klima'!O240</f>
        <v>0</v>
      </c>
      <c r="Q67" s="1347">
        <f>Q27*Q234*Q$191*$H183*'11 Klima'!P240</f>
        <v>0</v>
      </c>
      <c r="R67" s="1347">
        <f>R27*R234*R$191*$H183*'11 Klima'!Q240</f>
        <v>0</v>
      </c>
      <c r="S67" s="1348">
        <f>S27*S234*S$191*$H183*'11 Klima'!R240</f>
        <v>0</v>
      </c>
      <c r="T67" s="288"/>
      <c r="U67" s="288"/>
      <c r="V67" s="288"/>
      <c r="W67" s="288"/>
      <c r="X67" s="288"/>
      <c r="Y67" s="288"/>
      <c r="Z67" s="288"/>
      <c r="AA67" s="288"/>
      <c r="AB67" s="288"/>
      <c r="AC67" s="288"/>
    </row>
    <row r="68" spans="1:29" s="289" customFormat="1" ht="12" customHeight="1" x14ac:dyDescent="0.3">
      <c r="A68" s="287"/>
      <c r="B68" s="1345" t="str">
        <f t="shared" si="15"/>
        <v>IAD</v>
      </c>
      <c r="C68" s="1353" t="str">
        <f t="shared" si="15"/>
        <v xml:space="preserve">Znečištění ovzduší (emise) </v>
      </c>
      <c r="D68" s="1346">
        <f t="shared" si="16"/>
        <v>0</v>
      </c>
      <c r="E68" s="1510">
        <f>E28*E235*E$191*$H184*'11 Klima'!D241</f>
        <v>0</v>
      </c>
      <c r="F68" s="1347">
        <f>F28*F235*F$191*$H184*'11 Klima'!E241</f>
        <v>0</v>
      </c>
      <c r="G68" s="1347">
        <f>G28*G235*G$191*$H184*'11 Klima'!F241</f>
        <v>0</v>
      </c>
      <c r="H68" s="1347">
        <f>H28*H235*H$191*$H184*'11 Klima'!G241</f>
        <v>0</v>
      </c>
      <c r="I68" s="1347">
        <f>I28*I235*I$191*$H184*'11 Klima'!H241</f>
        <v>0</v>
      </c>
      <c r="J68" s="1347">
        <f>J28*J235*J$191*$H184*'11 Klima'!I241</f>
        <v>0</v>
      </c>
      <c r="K68" s="1347">
        <f>K28*K235*K$191*$H184*'11 Klima'!J241</f>
        <v>0</v>
      </c>
      <c r="L68" s="1347">
        <f>L28*L235*L$191*$H184*'11 Klima'!K241</f>
        <v>0</v>
      </c>
      <c r="M68" s="1347">
        <f>M28*M235*M$191*$H184*'11 Klima'!L241</f>
        <v>0</v>
      </c>
      <c r="N68" s="1347">
        <f>N28*N235*N$191*$H184*'11 Klima'!M241</f>
        <v>0</v>
      </c>
      <c r="O68" s="1347">
        <f>O28*O235*O$191*$H184*'11 Klima'!N241</f>
        <v>0</v>
      </c>
      <c r="P68" s="1347">
        <f>P28*P235*P$191*$H184*'11 Klima'!O241</f>
        <v>0</v>
      </c>
      <c r="Q68" s="1347">
        <f>Q28*Q235*Q$191*$H184*'11 Klima'!P241</f>
        <v>0</v>
      </c>
      <c r="R68" s="1347">
        <f>R28*R235*R$191*$H184*'11 Klima'!Q241</f>
        <v>0</v>
      </c>
      <c r="S68" s="1348">
        <f>S28*S235*S$191*$H184*'11 Klima'!R241</f>
        <v>0</v>
      </c>
      <c r="T68" s="288"/>
      <c r="U68" s="288"/>
      <c r="V68" s="288"/>
      <c r="W68" s="288"/>
      <c r="X68" s="288"/>
      <c r="Y68" s="288"/>
      <c r="Z68" s="288"/>
      <c r="AA68" s="288"/>
      <c r="AB68" s="288"/>
      <c r="AC68" s="288"/>
    </row>
    <row r="69" spans="1:29" s="289" customFormat="1" ht="12" customHeight="1" x14ac:dyDescent="0.3">
      <c r="A69" s="287"/>
      <c r="B69" s="1360" t="str">
        <f t="shared" si="15"/>
        <v>bez rozlišení</v>
      </c>
      <c r="C69" s="1355" t="str">
        <f t="shared" si="15"/>
        <v xml:space="preserve">Znečištění ovzduší (emise) </v>
      </c>
      <c r="D69" s="1346">
        <f t="shared" si="16"/>
        <v>0</v>
      </c>
      <c r="E69" s="1510">
        <f>E29*E236*E$191*$H185*'11 Klima'!D242</f>
        <v>0</v>
      </c>
      <c r="F69" s="1347">
        <f>F29*F236*F$191*$H185*'11 Klima'!E242</f>
        <v>0</v>
      </c>
      <c r="G69" s="1347">
        <f>G29*G236*G$191*$H185*'11 Klima'!F242</f>
        <v>0</v>
      </c>
      <c r="H69" s="1347">
        <f>H29*H236*H$191*$H185*'11 Klima'!G242</f>
        <v>0</v>
      </c>
      <c r="I69" s="1347">
        <f>I29*I236*I$191*$H185*'11 Klima'!H242</f>
        <v>0</v>
      </c>
      <c r="J69" s="1347">
        <f>J29*J236*J$191*$H185*'11 Klima'!I242</f>
        <v>0</v>
      </c>
      <c r="K69" s="1347">
        <f>K29*K236*K$191*$H185*'11 Klima'!J242</f>
        <v>0</v>
      </c>
      <c r="L69" s="1347">
        <f>L29*L236*L$191*$H185*'11 Klima'!K242</f>
        <v>0</v>
      </c>
      <c r="M69" s="1347">
        <f>M29*M236*M$191*$H185*'11 Klima'!L242</f>
        <v>0</v>
      </c>
      <c r="N69" s="1347">
        <f>N29*N236*N$191*$H185*'11 Klima'!M242</f>
        <v>0</v>
      </c>
      <c r="O69" s="1347">
        <f>O29*O236*O$191*$H185*'11 Klima'!N242</f>
        <v>0</v>
      </c>
      <c r="P69" s="1347">
        <f>P29*P236*P$191*$H185*'11 Klima'!O242</f>
        <v>0</v>
      </c>
      <c r="Q69" s="1347">
        <f>Q29*Q236*Q$191*$H185*'11 Klima'!P242</f>
        <v>0</v>
      </c>
      <c r="R69" s="1347">
        <f>R29*R236*R$191*$H185*'11 Klima'!Q242</f>
        <v>0</v>
      </c>
      <c r="S69" s="1348">
        <f>S29*S236*S$191*$H185*'11 Klima'!R242</f>
        <v>0</v>
      </c>
      <c r="T69" s="288"/>
      <c r="U69" s="288"/>
      <c r="V69" s="288"/>
      <c r="W69" s="288"/>
      <c r="X69" s="288"/>
      <c r="Y69" s="288"/>
      <c r="Z69" s="288"/>
      <c r="AA69" s="288"/>
      <c r="AB69" s="288"/>
      <c r="AC69" s="288"/>
    </row>
    <row r="70" spans="1:29" ht="12.75" customHeight="1" thickBot="1" x14ac:dyDescent="0.35">
      <c r="A70" s="245"/>
      <c r="B70" s="1361"/>
      <c r="C70" s="243" t="str">
        <f>C60</f>
        <v>Celkové externí náklady</v>
      </c>
      <c r="D70" s="273">
        <f t="shared" si="16"/>
        <v>0</v>
      </c>
      <c r="E70" s="483">
        <f>SUM(E64:E69)</f>
        <v>0</v>
      </c>
      <c r="F70" s="484">
        <f t="shared" ref="F70:S70" si="17">SUM(F64:F69)</f>
        <v>0</v>
      </c>
      <c r="G70" s="484">
        <f t="shared" si="17"/>
        <v>0</v>
      </c>
      <c r="H70" s="484">
        <f t="shared" si="17"/>
        <v>0</v>
      </c>
      <c r="I70" s="484">
        <f t="shared" si="17"/>
        <v>0</v>
      </c>
      <c r="J70" s="484">
        <f t="shared" si="17"/>
        <v>0</v>
      </c>
      <c r="K70" s="484">
        <f t="shared" si="17"/>
        <v>0</v>
      </c>
      <c r="L70" s="484">
        <f t="shared" si="17"/>
        <v>0</v>
      </c>
      <c r="M70" s="484">
        <f t="shared" si="17"/>
        <v>0</v>
      </c>
      <c r="N70" s="484">
        <f t="shared" si="17"/>
        <v>0</v>
      </c>
      <c r="O70" s="484">
        <f t="shared" si="17"/>
        <v>0</v>
      </c>
      <c r="P70" s="484">
        <f t="shared" si="17"/>
        <v>0</v>
      </c>
      <c r="Q70" s="484">
        <f t="shared" si="17"/>
        <v>0</v>
      </c>
      <c r="R70" s="484">
        <f t="shared" si="17"/>
        <v>0</v>
      </c>
      <c r="S70" s="485">
        <f t="shared" si="17"/>
        <v>0</v>
      </c>
      <c r="T70" s="237"/>
      <c r="U70" s="237"/>
      <c r="V70" s="237"/>
      <c r="W70" s="237"/>
      <c r="X70" s="237"/>
      <c r="Y70" s="237"/>
      <c r="Z70" s="237"/>
      <c r="AA70" s="237"/>
      <c r="AB70" s="237"/>
      <c r="AC70" s="237"/>
    </row>
    <row r="71" spans="1:29" ht="12.75" customHeight="1" thickBot="1" x14ac:dyDescent="0.35">
      <c r="A71" s="245"/>
      <c r="B71" s="1349"/>
      <c r="C71" s="1165"/>
      <c r="D71" s="1167"/>
      <c r="E71" s="1167"/>
      <c r="F71" s="1167"/>
      <c r="G71" s="1167"/>
      <c r="H71" s="1167"/>
      <c r="I71" s="1167"/>
      <c r="J71" s="1167"/>
      <c r="K71" s="1167"/>
      <c r="L71" s="1167"/>
      <c r="M71" s="1167"/>
      <c r="N71" s="1167"/>
      <c r="O71" s="1167"/>
      <c r="P71" s="1167"/>
      <c r="Q71" s="1167"/>
      <c r="R71" s="1167"/>
      <c r="S71" s="1167"/>
      <c r="T71" s="236"/>
      <c r="U71" s="236"/>
      <c r="V71" s="236"/>
      <c r="W71" s="236"/>
      <c r="X71" s="236"/>
      <c r="Y71" s="236"/>
      <c r="Z71" s="236"/>
      <c r="AA71" s="236"/>
      <c r="AB71" s="236"/>
      <c r="AC71" s="236"/>
    </row>
    <row r="72" spans="1:29" ht="12.75" customHeight="1" x14ac:dyDescent="0.3">
      <c r="A72" s="245"/>
      <c r="B72" s="291" t="str">
        <f>B62</f>
        <v>10.4.</v>
      </c>
      <c r="C72" s="292" t="str">
        <f>C62</f>
        <v>Externí náklady emisí, vlivy na ŽP (CZK)</v>
      </c>
      <c r="D72" s="293"/>
      <c r="E72" s="2119">
        <f>S62+1</f>
        <v>2041</v>
      </c>
      <c r="F72" s="2121">
        <f t="shared" ref="F72:S72" si="18">E72+1</f>
        <v>2042</v>
      </c>
      <c r="G72" s="2121">
        <f t="shared" si="18"/>
        <v>2043</v>
      </c>
      <c r="H72" s="2121">
        <f t="shared" si="18"/>
        <v>2044</v>
      </c>
      <c r="I72" s="2121">
        <f t="shared" si="18"/>
        <v>2045</v>
      </c>
      <c r="J72" s="2121">
        <f t="shared" si="18"/>
        <v>2046</v>
      </c>
      <c r="K72" s="2121">
        <f t="shared" si="18"/>
        <v>2047</v>
      </c>
      <c r="L72" s="2121">
        <f t="shared" si="18"/>
        <v>2048</v>
      </c>
      <c r="M72" s="2121">
        <f t="shared" si="18"/>
        <v>2049</v>
      </c>
      <c r="N72" s="2121">
        <f t="shared" si="18"/>
        <v>2050</v>
      </c>
      <c r="O72" s="2121">
        <f t="shared" si="18"/>
        <v>2051</v>
      </c>
      <c r="P72" s="2121">
        <f t="shared" si="18"/>
        <v>2052</v>
      </c>
      <c r="Q72" s="2121">
        <f t="shared" si="18"/>
        <v>2053</v>
      </c>
      <c r="R72" s="2121">
        <f t="shared" si="18"/>
        <v>2054</v>
      </c>
      <c r="S72" s="2123">
        <f t="shared" si="18"/>
        <v>2055</v>
      </c>
      <c r="T72" s="247"/>
      <c r="U72" s="247"/>
      <c r="V72" s="247"/>
      <c r="W72" s="247"/>
      <c r="X72" s="247"/>
      <c r="Y72" s="247"/>
      <c r="Z72" s="247"/>
      <c r="AA72" s="247"/>
      <c r="AB72" s="247"/>
      <c r="AC72" s="247"/>
    </row>
    <row r="73" spans="1:29" ht="12.75" customHeight="1" thickBot="1" x14ac:dyDescent="0.35">
      <c r="A73" s="245"/>
      <c r="B73" s="1357" t="s">
        <v>5</v>
      </c>
      <c r="C73" s="1358" t="str">
        <f t="shared" ref="C73:C80" si="19">C63</f>
        <v>Scénář bez projektu</v>
      </c>
      <c r="D73" s="295"/>
      <c r="E73" s="2142">
        <f>S63+1</f>
        <v>1</v>
      </c>
      <c r="F73" s="2122"/>
      <c r="G73" s="2122"/>
      <c r="H73" s="2122"/>
      <c r="I73" s="2122"/>
      <c r="J73" s="2122"/>
      <c r="K73" s="2122"/>
      <c r="L73" s="2122"/>
      <c r="M73" s="2122"/>
      <c r="N73" s="2122"/>
      <c r="O73" s="2122"/>
      <c r="P73" s="2122"/>
      <c r="Q73" s="2122"/>
      <c r="R73" s="2122"/>
      <c r="S73" s="2124"/>
      <c r="T73" s="247"/>
      <c r="U73" s="247"/>
      <c r="V73" s="247"/>
      <c r="W73" s="247"/>
      <c r="X73" s="247"/>
      <c r="Y73" s="247"/>
      <c r="Z73" s="247"/>
      <c r="AA73" s="247"/>
      <c r="AB73" s="247"/>
      <c r="AC73" s="247"/>
    </row>
    <row r="74" spans="1:29" ht="12.75" customHeight="1" x14ac:dyDescent="0.3">
      <c r="A74" s="245"/>
      <c r="B74" s="1359" t="str">
        <f t="shared" ref="B74:B79" si="20">B64</f>
        <v>BUS</v>
      </c>
      <c r="C74" s="1351" t="str">
        <f t="shared" si="19"/>
        <v xml:space="preserve">Znečištění ovzduší (emise) </v>
      </c>
      <c r="D74" s="1346"/>
      <c r="E74" s="1510">
        <f>E34*E241*E$196*$H180*'11 Klima'!D244</f>
        <v>0</v>
      </c>
      <c r="F74" s="1347">
        <f>F34*F241*F$196*$H180*'11 Klima'!E244</f>
        <v>0</v>
      </c>
      <c r="G74" s="1347">
        <f>G34*G241*G$196*$H180*'11 Klima'!F244</f>
        <v>0</v>
      </c>
      <c r="H74" s="1347">
        <f>H34*H241*H$196*$H180*'11 Klima'!G244</f>
        <v>0</v>
      </c>
      <c r="I74" s="1347">
        <f>I34*I241*I$196*$H180*'11 Klima'!H244</f>
        <v>0</v>
      </c>
      <c r="J74" s="1347">
        <f>J34*J241*J$196*$H180*'11 Klima'!I244</f>
        <v>0</v>
      </c>
      <c r="K74" s="1347">
        <f>K34*K241*K$196*$H180*'11 Klima'!J244</f>
        <v>0</v>
      </c>
      <c r="L74" s="1347">
        <f>L34*L241*L$196*$H180*'11 Klima'!K244</f>
        <v>0</v>
      </c>
      <c r="M74" s="1347">
        <f>M34*M241*M$196*$H180*'11 Klima'!L244</f>
        <v>0</v>
      </c>
      <c r="N74" s="1347">
        <f>N34*N241*N$196*$H180*'11 Klima'!M244</f>
        <v>0</v>
      </c>
      <c r="O74" s="1347">
        <f>O34*O241*O$196*$H180*'11 Klima'!N244</f>
        <v>0</v>
      </c>
      <c r="P74" s="1347">
        <f>P34*P241*P$196*$H180*'11 Klima'!O244</f>
        <v>0</v>
      </c>
      <c r="Q74" s="1347">
        <f>Q34*Q241*Q$196*$H180*'11 Klima'!P244</f>
        <v>0</v>
      </c>
      <c r="R74" s="1347">
        <f>R34*R241*R$196*$H180*'11 Klima'!Q244</f>
        <v>0</v>
      </c>
      <c r="S74" s="1348">
        <f>S34*S241*S$196*$H180*'11 Klima'!R244</f>
        <v>0</v>
      </c>
      <c r="T74" s="236"/>
      <c r="U74" s="236"/>
      <c r="V74" s="236"/>
      <c r="W74" s="236"/>
      <c r="X74" s="236"/>
      <c r="Y74" s="236"/>
      <c r="Z74" s="236"/>
      <c r="AA74" s="236"/>
      <c r="AB74" s="236"/>
      <c r="AC74" s="236"/>
    </row>
    <row r="75" spans="1:29" s="289" customFormat="1" ht="12.75" customHeight="1" x14ac:dyDescent="0.3">
      <c r="A75" s="287"/>
      <c r="B75" s="1345" t="str">
        <f t="shared" si="20"/>
        <v>Trolejbus</v>
      </c>
      <c r="C75" s="1353" t="str">
        <f t="shared" si="19"/>
        <v xml:space="preserve">Znečištění ovzduší (emise) </v>
      </c>
      <c r="D75" s="1346"/>
      <c r="E75" s="1510">
        <f>E35*E242*E$196*$H181*'11 Klima'!D245</f>
        <v>0</v>
      </c>
      <c r="F75" s="1347">
        <f>F35*F242*F$196*$H181*'11 Klima'!E245</f>
        <v>0</v>
      </c>
      <c r="G75" s="1347">
        <f>G35*G242*G$196*$H181*'11 Klima'!F245</f>
        <v>0</v>
      </c>
      <c r="H75" s="1347">
        <f>H35*H242*H$196*$H181*'11 Klima'!G245</f>
        <v>0</v>
      </c>
      <c r="I75" s="1347">
        <f>I35*I242*I$196*$H181*'11 Klima'!H245</f>
        <v>0</v>
      </c>
      <c r="J75" s="1347">
        <f>J35*J242*J$196*$H181*'11 Klima'!I245</f>
        <v>0</v>
      </c>
      <c r="K75" s="1347">
        <f>K35*K242*K$196*$H181*'11 Klima'!J245</f>
        <v>0</v>
      </c>
      <c r="L75" s="1347">
        <f>L35*L242*L$196*$H181*'11 Klima'!K245</f>
        <v>0</v>
      </c>
      <c r="M75" s="1347">
        <f>M35*M242*M$196*$H181*'11 Klima'!L245</f>
        <v>0</v>
      </c>
      <c r="N75" s="1347">
        <f>N35*N242*N$196*$H181*'11 Klima'!M245</f>
        <v>0</v>
      </c>
      <c r="O75" s="1347">
        <f>O35*O242*O$196*$H181*'11 Klima'!N245</f>
        <v>0</v>
      </c>
      <c r="P75" s="1347">
        <f>P35*P242*P$196*$H181*'11 Klima'!O245</f>
        <v>0</v>
      </c>
      <c r="Q75" s="1347">
        <f>Q35*Q242*Q$196*$H181*'11 Klima'!P245</f>
        <v>0</v>
      </c>
      <c r="R75" s="1347">
        <f>R35*R242*R$196*$H181*'11 Klima'!Q245</f>
        <v>0</v>
      </c>
      <c r="S75" s="1348">
        <f>S35*S242*S$196*$H181*'11 Klima'!R245</f>
        <v>0</v>
      </c>
      <c r="T75" s="288"/>
      <c r="U75" s="288"/>
      <c r="V75" s="288"/>
      <c r="W75" s="288"/>
      <c r="X75" s="288"/>
      <c r="Y75" s="288"/>
      <c r="Z75" s="288"/>
      <c r="AA75" s="288"/>
      <c r="AB75" s="288"/>
      <c r="AC75" s="288"/>
    </row>
    <row r="76" spans="1:29" ht="12.75" customHeight="1" x14ac:dyDescent="0.3">
      <c r="A76" s="245"/>
      <c r="B76" s="1345" t="str">
        <f t="shared" si="20"/>
        <v>Tramvaj</v>
      </c>
      <c r="C76" s="1353" t="str">
        <f t="shared" si="19"/>
        <v xml:space="preserve">Znečištění ovzduší (emise) </v>
      </c>
      <c r="D76" s="1346"/>
      <c r="E76" s="1510">
        <f>E36*E243*E$196*$H182*'11 Klima'!D246</f>
        <v>0</v>
      </c>
      <c r="F76" s="1347">
        <f>F36*F243*F$196*$H182*'11 Klima'!E246</f>
        <v>0</v>
      </c>
      <c r="G76" s="1347">
        <f>G36*G243*G$196*$H182*'11 Klima'!F246</f>
        <v>0</v>
      </c>
      <c r="H76" s="1347">
        <f>H36*H243*H$196*$H182*'11 Klima'!G246</f>
        <v>0</v>
      </c>
      <c r="I76" s="1347">
        <f>I36*I243*I$196*$H182*'11 Klima'!H246</f>
        <v>0</v>
      </c>
      <c r="J76" s="1347">
        <f>J36*J243*J$196*$H182*'11 Klima'!I246</f>
        <v>0</v>
      </c>
      <c r="K76" s="1347">
        <f>K36*K243*K$196*$H182*'11 Klima'!J246</f>
        <v>0</v>
      </c>
      <c r="L76" s="1347">
        <f>L36*L243*L$196*$H182*'11 Klima'!K246</f>
        <v>0</v>
      </c>
      <c r="M76" s="1347">
        <f>M36*M243*M$196*$H182*'11 Klima'!L246</f>
        <v>0</v>
      </c>
      <c r="N76" s="1347">
        <f>N36*N243*N$196*$H182*'11 Klima'!M246</f>
        <v>0</v>
      </c>
      <c r="O76" s="1347">
        <f>O36*O243*O$196*$H182*'11 Klima'!N246</f>
        <v>0</v>
      </c>
      <c r="P76" s="1347">
        <f>P36*P243*P$196*$H182*'11 Klima'!O246</f>
        <v>0</v>
      </c>
      <c r="Q76" s="1347">
        <f>Q36*Q243*Q$196*$H182*'11 Klima'!P246</f>
        <v>0</v>
      </c>
      <c r="R76" s="1347">
        <f>R36*R243*R$196*$H182*'11 Klima'!Q246</f>
        <v>0</v>
      </c>
      <c r="S76" s="1348">
        <f>S36*S243*S$196*$H182*'11 Klima'!R246</f>
        <v>0</v>
      </c>
      <c r="T76" s="236"/>
      <c r="U76" s="236"/>
      <c r="V76" s="236"/>
      <c r="W76" s="236"/>
      <c r="X76" s="236"/>
      <c r="Y76" s="236"/>
      <c r="Z76" s="236"/>
      <c r="AA76" s="236"/>
      <c r="AB76" s="236"/>
      <c r="AC76" s="236"/>
    </row>
    <row r="77" spans="1:29" s="289" customFormat="1" ht="12.75" customHeight="1" x14ac:dyDescent="0.3">
      <c r="A77" s="287"/>
      <c r="B77" s="1345" t="str">
        <f t="shared" si="20"/>
        <v>Metro</v>
      </c>
      <c r="C77" s="1353" t="str">
        <f t="shared" si="19"/>
        <v xml:space="preserve">Znečištění ovzduší (emise) </v>
      </c>
      <c r="D77" s="1346"/>
      <c r="E77" s="1510">
        <f>E37*E244*E$196*$H183*'11 Klima'!D247</f>
        <v>0</v>
      </c>
      <c r="F77" s="1347">
        <f>F37*F244*F$196*$H183*'11 Klima'!E247</f>
        <v>0</v>
      </c>
      <c r="G77" s="1347">
        <f>G37*G244*G$196*$H183*'11 Klima'!F247</f>
        <v>0</v>
      </c>
      <c r="H77" s="1347">
        <f>H37*H244*H$196*$H183*'11 Klima'!G247</f>
        <v>0</v>
      </c>
      <c r="I77" s="1347">
        <f>I37*I244*I$196*$H183*'11 Klima'!H247</f>
        <v>0</v>
      </c>
      <c r="J77" s="1347">
        <f>J37*J244*J$196*$H183*'11 Klima'!I247</f>
        <v>0</v>
      </c>
      <c r="K77" s="1347">
        <f>K37*K244*K$196*$H183*'11 Klima'!J247</f>
        <v>0</v>
      </c>
      <c r="L77" s="1347">
        <f>L37*L244*L$196*$H183*'11 Klima'!K247</f>
        <v>0</v>
      </c>
      <c r="M77" s="1347">
        <f>M37*M244*M$196*$H183*'11 Klima'!L247</f>
        <v>0</v>
      </c>
      <c r="N77" s="1347">
        <f>N37*N244*N$196*$H183*'11 Klima'!M247</f>
        <v>0</v>
      </c>
      <c r="O77" s="1347">
        <f>O37*O244*O$196*$H183*'11 Klima'!N247</f>
        <v>0</v>
      </c>
      <c r="P77" s="1347">
        <f>P37*P244*P$196*$H183*'11 Klima'!O247</f>
        <v>0</v>
      </c>
      <c r="Q77" s="1347">
        <f>Q37*Q244*Q$196*$H183*'11 Klima'!P247</f>
        <v>0</v>
      </c>
      <c r="R77" s="1347">
        <f>R37*R244*R$196*$H183*'11 Klima'!Q247</f>
        <v>0</v>
      </c>
      <c r="S77" s="1348">
        <f>S37*S244*S$196*$H183*'11 Klima'!R247</f>
        <v>0</v>
      </c>
      <c r="T77" s="288"/>
      <c r="U77" s="288"/>
      <c r="V77" s="288"/>
      <c r="W77" s="288"/>
      <c r="X77" s="288"/>
      <c r="Y77" s="288"/>
      <c r="Z77" s="288"/>
      <c r="AA77" s="288"/>
      <c r="AB77" s="288"/>
      <c r="AC77" s="288"/>
    </row>
    <row r="78" spans="1:29" s="289" customFormat="1" ht="12.75" customHeight="1" x14ac:dyDescent="0.3">
      <c r="A78" s="287"/>
      <c r="B78" s="1345" t="str">
        <f t="shared" si="20"/>
        <v>IAD</v>
      </c>
      <c r="C78" s="1353" t="str">
        <f t="shared" si="19"/>
        <v xml:space="preserve">Znečištění ovzduší (emise) </v>
      </c>
      <c r="D78" s="1346"/>
      <c r="E78" s="1510">
        <f>E38*E245*E$196*$H184*'11 Klima'!D248</f>
        <v>0</v>
      </c>
      <c r="F78" s="1347">
        <f>F38*F245*F$196*$H184*'11 Klima'!E248</f>
        <v>0</v>
      </c>
      <c r="G78" s="1347">
        <f>G38*G245*G$196*$H184*'11 Klima'!F248</f>
        <v>0</v>
      </c>
      <c r="H78" s="1347">
        <f>H38*H245*H$196*$H184*'11 Klima'!G248</f>
        <v>0</v>
      </c>
      <c r="I78" s="1347">
        <f>I38*I245*I$196*$H184*'11 Klima'!H248</f>
        <v>0</v>
      </c>
      <c r="J78" s="1347">
        <f>J38*J245*J$196*$H184*'11 Klima'!I248</f>
        <v>0</v>
      </c>
      <c r="K78" s="1347">
        <f>K38*K245*K$196*$H184*'11 Klima'!J248</f>
        <v>0</v>
      </c>
      <c r="L78" s="1347">
        <f>L38*L245*L$196*$H184*'11 Klima'!K248</f>
        <v>0</v>
      </c>
      <c r="M78" s="1347">
        <f>M38*M245*M$196*$H184*'11 Klima'!L248</f>
        <v>0</v>
      </c>
      <c r="N78" s="1347">
        <f>N38*N245*N$196*$H184*'11 Klima'!M248</f>
        <v>0</v>
      </c>
      <c r="O78" s="1347">
        <f>O38*O245*O$196*$H184*'11 Klima'!N248</f>
        <v>0</v>
      </c>
      <c r="P78" s="1347">
        <f>P38*P245*P$196*$H184*'11 Klima'!O248</f>
        <v>0</v>
      </c>
      <c r="Q78" s="1347">
        <f>Q38*Q245*Q$196*$H184*'11 Klima'!P248</f>
        <v>0</v>
      </c>
      <c r="R78" s="1347">
        <f>R38*R245*R$196*$H184*'11 Klima'!Q248</f>
        <v>0</v>
      </c>
      <c r="S78" s="1348">
        <f>S38*S245*S$196*$H184*'11 Klima'!R248</f>
        <v>0</v>
      </c>
      <c r="T78" s="288"/>
      <c r="U78" s="288"/>
      <c r="V78" s="288"/>
      <c r="W78" s="288"/>
      <c r="X78" s="288"/>
      <c r="Y78" s="288"/>
      <c r="Z78" s="288"/>
      <c r="AA78" s="288"/>
      <c r="AB78" s="288"/>
      <c r="AC78" s="288"/>
    </row>
    <row r="79" spans="1:29" s="289" customFormat="1" ht="12.75" customHeight="1" x14ac:dyDescent="0.3">
      <c r="A79" s="287"/>
      <c r="B79" s="1360" t="str">
        <f t="shared" si="20"/>
        <v>bez rozlišení</v>
      </c>
      <c r="C79" s="1355" t="str">
        <f t="shared" si="19"/>
        <v xml:space="preserve">Znečištění ovzduší (emise) </v>
      </c>
      <c r="D79" s="1346"/>
      <c r="E79" s="1510">
        <f>E39*E246*E$196*$H185*'11 Klima'!D249</f>
        <v>0</v>
      </c>
      <c r="F79" s="1347">
        <f>F39*F246*F$196*$H185*'11 Klima'!E249</f>
        <v>0</v>
      </c>
      <c r="G79" s="1347">
        <f>G39*G246*G$196*$H185*'11 Klima'!F249</f>
        <v>0</v>
      </c>
      <c r="H79" s="1347">
        <f>H39*H246*H$196*$H185*'11 Klima'!G249</f>
        <v>0</v>
      </c>
      <c r="I79" s="1347">
        <f>I39*I246*I$196*$H185*'11 Klima'!H249</f>
        <v>0</v>
      </c>
      <c r="J79" s="1347">
        <f>J39*J246*J$196*$H185*'11 Klima'!I249</f>
        <v>0</v>
      </c>
      <c r="K79" s="1347">
        <f>K39*K246*K$196*$H185*'11 Klima'!J249</f>
        <v>0</v>
      </c>
      <c r="L79" s="1347">
        <f>L39*L246*L$196*$H185*'11 Klima'!K249</f>
        <v>0</v>
      </c>
      <c r="M79" s="1347">
        <f>M39*M246*M$196*$H185*'11 Klima'!L249</f>
        <v>0</v>
      </c>
      <c r="N79" s="1347">
        <f>N39*N246*N$196*$H185*'11 Klima'!M249</f>
        <v>0</v>
      </c>
      <c r="O79" s="1347">
        <f>O39*O246*O$196*$H185*'11 Klima'!N249</f>
        <v>0</v>
      </c>
      <c r="P79" s="1347">
        <f>P39*P246*P$196*$H185*'11 Klima'!O249</f>
        <v>0</v>
      </c>
      <c r="Q79" s="1347">
        <f>Q39*Q246*Q$196*$H185*'11 Klima'!P249</f>
        <v>0</v>
      </c>
      <c r="R79" s="1347">
        <f>R39*R246*R$196*$H185*'11 Klima'!Q249</f>
        <v>0</v>
      </c>
      <c r="S79" s="1348">
        <f>S39*S246*S$196*$H185*'11 Klima'!R249</f>
        <v>0</v>
      </c>
      <c r="T79" s="288"/>
      <c r="U79" s="288"/>
      <c r="V79" s="288"/>
      <c r="W79" s="288"/>
      <c r="X79" s="288"/>
      <c r="Y79" s="288"/>
      <c r="Z79" s="288"/>
      <c r="AA79" s="288"/>
      <c r="AB79" s="288"/>
      <c r="AC79" s="288"/>
    </row>
    <row r="80" spans="1:29" ht="12.75" customHeight="1" thickBot="1" x14ac:dyDescent="0.35">
      <c r="A80" s="252"/>
      <c r="B80" s="1361"/>
      <c r="C80" s="243" t="str">
        <f t="shared" si="19"/>
        <v>Celkové externí náklady</v>
      </c>
      <c r="D80" s="273"/>
      <c r="E80" s="483">
        <f>SUM(E74:E79)</f>
        <v>0</v>
      </c>
      <c r="F80" s="484">
        <f t="shared" ref="F80:S80" si="21">SUM(F74:F79)</f>
        <v>0</v>
      </c>
      <c r="G80" s="484">
        <f t="shared" si="21"/>
        <v>0</v>
      </c>
      <c r="H80" s="484">
        <f t="shared" si="21"/>
        <v>0</v>
      </c>
      <c r="I80" s="484">
        <f t="shared" si="21"/>
        <v>0</v>
      </c>
      <c r="J80" s="484">
        <f t="shared" si="21"/>
        <v>0</v>
      </c>
      <c r="K80" s="484">
        <f t="shared" si="21"/>
        <v>0</v>
      </c>
      <c r="L80" s="484">
        <f t="shared" si="21"/>
        <v>0</v>
      </c>
      <c r="M80" s="484">
        <f t="shared" si="21"/>
        <v>0</v>
      </c>
      <c r="N80" s="484">
        <f t="shared" si="21"/>
        <v>0</v>
      </c>
      <c r="O80" s="484">
        <f t="shared" si="21"/>
        <v>0</v>
      </c>
      <c r="P80" s="484">
        <f t="shared" si="21"/>
        <v>0</v>
      </c>
      <c r="Q80" s="484">
        <f t="shared" si="21"/>
        <v>0</v>
      </c>
      <c r="R80" s="484">
        <f t="shared" si="21"/>
        <v>0</v>
      </c>
      <c r="S80" s="485">
        <f t="shared" si="21"/>
        <v>0</v>
      </c>
      <c r="T80" s="237"/>
      <c r="U80" s="237"/>
      <c r="V80" s="237"/>
      <c r="W80" s="237"/>
      <c r="X80" s="237"/>
      <c r="Y80" s="237"/>
      <c r="Z80" s="237"/>
      <c r="AA80" s="237"/>
      <c r="AB80" s="237"/>
      <c r="AC80" s="237"/>
    </row>
    <row r="81" spans="1:29" ht="12.75" customHeight="1" thickBot="1" x14ac:dyDescent="0.35">
      <c r="A81" s="252"/>
      <c r="B81" s="609"/>
      <c r="C81" s="1356"/>
      <c r="D81" s="1167"/>
      <c r="E81" s="1166"/>
      <c r="F81" s="1166"/>
      <c r="G81" s="1166"/>
      <c r="H81" s="1166"/>
      <c r="I81" s="1166"/>
      <c r="J81" s="1166"/>
      <c r="K81" s="1166"/>
      <c r="L81" s="1166"/>
      <c r="M81" s="1166"/>
      <c r="N81" s="1166"/>
      <c r="O81" s="1166"/>
      <c r="P81" s="1166"/>
      <c r="Q81" s="1166"/>
      <c r="R81" s="1166"/>
      <c r="S81" s="1166"/>
      <c r="T81" s="237"/>
      <c r="U81" s="237"/>
      <c r="V81" s="237"/>
      <c r="W81" s="237"/>
      <c r="X81" s="237"/>
      <c r="Y81" s="237"/>
      <c r="Z81" s="237"/>
      <c r="AA81" s="237"/>
      <c r="AB81" s="237"/>
      <c r="AC81" s="237"/>
    </row>
    <row r="82" spans="1:29" ht="12.75" customHeight="1" x14ac:dyDescent="0.3">
      <c r="A82" s="245"/>
      <c r="B82" s="1203" t="s">
        <v>1500</v>
      </c>
      <c r="C82" s="1204" t="str">
        <f>IF('0 Úvod'!$M$10="English",Slovnik!$D$288,Slovnik!$C$288)</f>
        <v>Celkem externí efekty - úspory (CZK)</v>
      </c>
      <c r="D82" s="1204"/>
      <c r="E82" s="2036">
        <f>E42</f>
        <v>2026</v>
      </c>
      <c r="F82" s="2016">
        <f t="shared" ref="F82:S82" si="22">E82+1</f>
        <v>2027</v>
      </c>
      <c r="G82" s="2016">
        <f t="shared" si="22"/>
        <v>2028</v>
      </c>
      <c r="H82" s="2016">
        <f t="shared" si="22"/>
        <v>2029</v>
      </c>
      <c r="I82" s="2016">
        <f t="shared" si="22"/>
        <v>2030</v>
      </c>
      <c r="J82" s="2016">
        <f t="shared" si="22"/>
        <v>2031</v>
      </c>
      <c r="K82" s="2016">
        <f t="shared" si="22"/>
        <v>2032</v>
      </c>
      <c r="L82" s="2016">
        <f t="shared" si="22"/>
        <v>2033</v>
      </c>
      <c r="M82" s="2016">
        <f t="shared" si="22"/>
        <v>2034</v>
      </c>
      <c r="N82" s="2016">
        <f t="shared" si="22"/>
        <v>2035</v>
      </c>
      <c r="O82" s="2016">
        <f t="shared" si="22"/>
        <v>2036</v>
      </c>
      <c r="P82" s="2016">
        <f t="shared" si="22"/>
        <v>2037</v>
      </c>
      <c r="Q82" s="2016">
        <f t="shared" si="22"/>
        <v>2038</v>
      </c>
      <c r="R82" s="2016">
        <f t="shared" si="22"/>
        <v>2039</v>
      </c>
      <c r="S82" s="2034">
        <f t="shared" si="22"/>
        <v>2040</v>
      </c>
      <c r="T82" s="247"/>
      <c r="U82" s="247"/>
      <c r="V82" s="247"/>
      <c r="W82" s="247"/>
      <c r="X82" s="247"/>
      <c r="Y82" s="247"/>
      <c r="Z82" s="247"/>
      <c r="AA82" s="247"/>
      <c r="AB82" s="247"/>
      <c r="AC82" s="247"/>
    </row>
    <row r="83" spans="1:29" ht="12.75" customHeight="1" thickBot="1" x14ac:dyDescent="0.35">
      <c r="A83" s="245"/>
      <c r="B83" s="1205" t="s">
        <v>4</v>
      </c>
      <c r="C83" s="1206"/>
      <c r="D83" s="1362" t="str">
        <f>D63</f>
        <v>Celkem</v>
      </c>
      <c r="E83" s="2113"/>
      <c r="F83" s="2109"/>
      <c r="G83" s="2109"/>
      <c r="H83" s="2109"/>
      <c r="I83" s="2109"/>
      <c r="J83" s="2109"/>
      <c r="K83" s="2109"/>
      <c r="L83" s="2109"/>
      <c r="M83" s="2109"/>
      <c r="N83" s="2109"/>
      <c r="O83" s="2109"/>
      <c r="P83" s="2109"/>
      <c r="Q83" s="2109"/>
      <c r="R83" s="2109"/>
      <c r="S83" s="2110"/>
      <c r="T83" s="247"/>
      <c r="U83" s="247"/>
      <c r="V83" s="247"/>
      <c r="W83" s="247"/>
      <c r="X83" s="247"/>
      <c r="Y83" s="247"/>
      <c r="Z83" s="247"/>
      <c r="AA83" s="247"/>
      <c r="AB83" s="247"/>
      <c r="AC83" s="247"/>
    </row>
    <row r="84" spans="1:29" ht="12.75" customHeight="1" x14ac:dyDescent="0.3">
      <c r="A84" s="254"/>
      <c r="B84" s="1363"/>
      <c r="C84" s="1186" t="str">
        <f>C44</f>
        <v xml:space="preserve">Znečištění ovzduší (emise) </v>
      </c>
      <c r="D84" s="1364">
        <f>SUM(E84:S84,E89:S89)</f>
        <v>0</v>
      </c>
      <c r="E84" s="1211">
        <f>E70-E50</f>
        <v>0</v>
      </c>
      <c r="F84" s="1187">
        <f t="shared" ref="F84:S84" si="23">F70-F50</f>
        <v>0</v>
      </c>
      <c r="G84" s="1187">
        <f t="shared" si="23"/>
        <v>0</v>
      </c>
      <c r="H84" s="1187">
        <f t="shared" si="23"/>
        <v>0</v>
      </c>
      <c r="I84" s="1187">
        <f t="shared" si="23"/>
        <v>0</v>
      </c>
      <c r="J84" s="1187">
        <f t="shared" si="23"/>
        <v>0</v>
      </c>
      <c r="K84" s="1187">
        <f t="shared" si="23"/>
        <v>0</v>
      </c>
      <c r="L84" s="1187">
        <f t="shared" si="23"/>
        <v>0</v>
      </c>
      <c r="M84" s="1187">
        <f t="shared" si="23"/>
        <v>0</v>
      </c>
      <c r="N84" s="1187">
        <f t="shared" si="23"/>
        <v>0</v>
      </c>
      <c r="O84" s="1187">
        <f t="shared" si="23"/>
        <v>0</v>
      </c>
      <c r="P84" s="1187">
        <f t="shared" si="23"/>
        <v>0</v>
      </c>
      <c r="Q84" s="1187">
        <f t="shared" si="23"/>
        <v>0</v>
      </c>
      <c r="R84" s="1187">
        <f t="shared" si="23"/>
        <v>0</v>
      </c>
      <c r="S84" s="1215">
        <f t="shared" si="23"/>
        <v>0</v>
      </c>
      <c r="T84" s="236"/>
      <c r="U84" s="236"/>
      <c r="V84" s="236"/>
      <c r="W84" s="236"/>
      <c r="X84" s="236"/>
      <c r="Y84" s="236"/>
      <c r="Z84" s="236"/>
      <c r="AA84" s="236"/>
      <c r="AB84" s="236"/>
      <c r="AC84" s="236"/>
    </row>
    <row r="85" spans="1:29" ht="12.75" customHeight="1" thickBot="1" x14ac:dyDescent="0.35">
      <c r="A85" s="245"/>
      <c r="B85" s="1365"/>
      <c r="C85" s="1366" t="str">
        <f>IF('0 Úvod'!$M$10="English",Slovnik!$D$287,Slovnik!$C$287)</f>
        <v>Celkem externí efekty - úspory</v>
      </c>
      <c r="D85" s="1367">
        <f>SUM(E85:S85,E90:S90)</f>
        <v>0</v>
      </c>
      <c r="E85" s="1368">
        <f t="shared" ref="E85:S85" si="24">SUM(E84:E84)</f>
        <v>0</v>
      </c>
      <c r="F85" s="1369">
        <f t="shared" si="24"/>
        <v>0</v>
      </c>
      <c r="G85" s="1369">
        <f t="shared" si="24"/>
        <v>0</v>
      </c>
      <c r="H85" s="1369">
        <f t="shared" si="24"/>
        <v>0</v>
      </c>
      <c r="I85" s="1369">
        <f t="shared" si="24"/>
        <v>0</v>
      </c>
      <c r="J85" s="1369">
        <f t="shared" si="24"/>
        <v>0</v>
      </c>
      <c r="K85" s="1369">
        <f t="shared" si="24"/>
        <v>0</v>
      </c>
      <c r="L85" s="1369">
        <f t="shared" si="24"/>
        <v>0</v>
      </c>
      <c r="M85" s="1369">
        <f t="shared" si="24"/>
        <v>0</v>
      </c>
      <c r="N85" s="1369">
        <f t="shared" si="24"/>
        <v>0</v>
      </c>
      <c r="O85" s="1369">
        <f t="shared" si="24"/>
        <v>0</v>
      </c>
      <c r="P85" s="1369">
        <f t="shared" si="24"/>
        <v>0</v>
      </c>
      <c r="Q85" s="1369">
        <f t="shared" si="24"/>
        <v>0</v>
      </c>
      <c r="R85" s="1369">
        <f t="shared" si="24"/>
        <v>0</v>
      </c>
      <c r="S85" s="1370">
        <f t="shared" si="24"/>
        <v>0</v>
      </c>
      <c r="T85" s="237"/>
      <c r="U85" s="237"/>
      <c r="V85" s="237"/>
      <c r="W85" s="237"/>
      <c r="X85" s="237"/>
      <c r="Y85" s="237"/>
      <c r="Z85" s="237"/>
      <c r="AA85" s="237"/>
      <c r="AB85" s="237"/>
      <c r="AC85" s="237"/>
    </row>
    <row r="86" spans="1:29" ht="12.75" customHeight="1" thickBot="1" x14ac:dyDescent="0.35">
      <c r="A86" s="245"/>
      <c r="B86" s="1349"/>
      <c r="C86" s="1165"/>
      <c r="D86" s="1167"/>
      <c r="E86" s="1167"/>
      <c r="F86" s="1167"/>
      <c r="G86" s="1167"/>
      <c r="H86" s="1167"/>
      <c r="I86" s="1167"/>
      <c r="J86" s="1167"/>
      <c r="K86" s="1167"/>
      <c r="L86" s="1167"/>
      <c r="M86" s="1167"/>
      <c r="N86" s="1167"/>
      <c r="O86" s="1167"/>
      <c r="P86" s="1167"/>
      <c r="Q86" s="1167"/>
      <c r="R86" s="1167"/>
      <c r="S86" s="1167"/>
      <c r="T86" s="236"/>
      <c r="U86" s="236"/>
      <c r="V86" s="236"/>
      <c r="W86" s="236"/>
      <c r="X86" s="236"/>
      <c r="Y86" s="236"/>
      <c r="Z86" s="236"/>
      <c r="AA86" s="236"/>
      <c r="AB86" s="236"/>
      <c r="AC86" s="236"/>
    </row>
    <row r="87" spans="1:29" ht="12.75" customHeight="1" x14ac:dyDescent="0.3">
      <c r="A87" s="245"/>
      <c r="B87" s="1203" t="str">
        <f>B82</f>
        <v>10.5.</v>
      </c>
      <c r="C87" s="1204" t="str">
        <f>C82</f>
        <v>Celkem externí efekty - úspory (CZK)</v>
      </c>
      <c r="D87" s="1204"/>
      <c r="E87" s="2036">
        <f>S82+1</f>
        <v>2041</v>
      </c>
      <c r="F87" s="2016">
        <f t="shared" ref="F87:S87" si="25">E87+1</f>
        <v>2042</v>
      </c>
      <c r="G87" s="2016">
        <f t="shared" si="25"/>
        <v>2043</v>
      </c>
      <c r="H87" s="2016">
        <f t="shared" si="25"/>
        <v>2044</v>
      </c>
      <c r="I87" s="2016">
        <f t="shared" si="25"/>
        <v>2045</v>
      </c>
      <c r="J87" s="2016">
        <f t="shared" si="25"/>
        <v>2046</v>
      </c>
      <c r="K87" s="2016">
        <f t="shared" si="25"/>
        <v>2047</v>
      </c>
      <c r="L87" s="2016">
        <f t="shared" si="25"/>
        <v>2048</v>
      </c>
      <c r="M87" s="2016">
        <f t="shared" si="25"/>
        <v>2049</v>
      </c>
      <c r="N87" s="2016">
        <f t="shared" si="25"/>
        <v>2050</v>
      </c>
      <c r="O87" s="2016">
        <f t="shared" si="25"/>
        <v>2051</v>
      </c>
      <c r="P87" s="2016">
        <f t="shared" si="25"/>
        <v>2052</v>
      </c>
      <c r="Q87" s="2016">
        <f t="shared" si="25"/>
        <v>2053</v>
      </c>
      <c r="R87" s="2016">
        <f t="shared" si="25"/>
        <v>2054</v>
      </c>
      <c r="S87" s="2034">
        <f t="shared" si="25"/>
        <v>2055</v>
      </c>
      <c r="T87" s="247"/>
      <c r="U87" s="247"/>
      <c r="V87" s="247"/>
      <c r="W87" s="247"/>
      <c r="X87" s="247"/>
      <c r="Y87" s="247"/>
      <c r="Z87" s="247"/>
      <c r="AA87" s="247"/>
      <c r="AB87" s="247"/>
      <c r="AC87" s="247"/>
    </row>
    <row r="88" spans="1:29" ht="12.75" customHeight="1" thickBot="1" x14ac:dyDescent="0.35">
      <c r="A88" s="245"/>
      <c r="B88" s="1205" t="s">
        <v>5</v>
      </c>
      <c r="C88" s="1206"/>
      <c r="D88" s="1362"/>
      <c r="E88" s="2113">
        <f>S83+1</f>
        <v>1</v>
      </c>
      <c r="F88" s="2109"/>
      <c r="G88" s="2109"/>
      <c r="H88" s="2109"/>
      <c r="I88" s="2109"/>
      <c r="J88" s="2109"/>
      <c r="K88" s="2109"/>
      <c r="L88" s="2109"/>
      <c r="M88" s="2109"/>
      <c r="N88" s="2109"/>
      <c r="O88" s="2109"/>
      <c r="P88" s="2109"/>
      <c r="Q88" s="2109"/>
      <c r="R88" s="2109"/>
      <c r="S88" s="2110"/>
      <c r="T88" s="247"/>
      <c r="U88" s="247"/>
      <c r="V88" s="247"/>
      <c r="W88" s="247"/>
      <c r="X88" s="247"/>
      <c r="Y88" s="247"/>
      <c r="Z88" s="247"/>
      <c r="AA88" s="247"/>
      <c r="AB88" s="247"/>
      <c r="AC88" s="247"/>
    </row>
    <row r="89" spans="1:29" ht="12.75" customHeight="1" x14ac:dyDescent="0.3">
      <c r="A89" s="254"/>
      <c r="B89" s="1363"/>
      <c r="C89" s="1186" t="str">
        <f>C84</f>
        <v xml:space="preserve">Znečištění ovzduší (emise) </v>
      </c>
      <c r="D89" s="1364"/>
      <c r="E89" s="1211">
        <f>E80-E60</f>
        <v>0</v>
      </c>
      <c r="F89" s="1187">
        <f t="shared" ref="F89:S89" si="26">F80-F60</f>
        <v>0</v>
      </c>
      <c r="G89" s="1187">
        <f t="shared" si="26"/>
        <v>0</v>
      </c>
      <c r="H89" s="1187">
        <f t="shared" si="26"/>
        <v>0</v>
      </c>
      <c r="I89" s="1187">
        <f t="shared" si="26"/>
        <v>0</v>
      </c>
      <c r="J89" s="1187">
        <f t="shared" si="26"/>
        <v>0</v>
      </c>
      <c r="K89" s="1187">
        <f t="shared" si="26"/>
        <v>0</v>
      </c>
      <c r="L89" s="1187">
        <f t="shared" si="26"/>
        <v>0</v>
      </c>
      <c r="M89" s="1187">
        <f t="shared" si="26"/>
        <v>0</v>
      </c>
      <c r="N89" s="1187">
        <f t="shared" si="26"/>
        <v>0</v>
      </c>
      <c r="O89" s="1187">
        <f t="shared" si="26"/>
        <v>0</v>
      </c>
      <c r="P89" s="1187">
        <f t="shared" si="26"/>
        <v>0</v>
      </c>
      <c r="Q89" s="1187">
        <f t="shared" si="26"/>
        <v>0</v>
      </c>
      <c r="R89" s="1187">
        <f t="shared" si="26"/>
        <v>0</v>
      </c>
      <c r="S89" s="1215">
        <f t="shared" si="26"/>
        <v>0</v>
      </c>
      <c r="T89" s="236"/>
      <c r="U89" s="236"/>
      <c r="V89" s="236"/>
      <c r="W89" s="236"/>
      <c r="X89" s="236"/>
      <c r="Y89" s="236"/>
      <c r="Z89" s="236"/>
      <c r="AA89" s="236"/>
      <c r="AB89" s="236"/>
      <c r="AC89" s="236"/>
    </row>
    <row r="90" spans="1:29" ht="12.75" customHeight="1" thickBot="1" x14ac:dyDescent="0.35">
      <c r="A90" s="245"/>
      <c r="B90" s="1365"/>
      <c r="C90" s="1366" t="str">
        <f>C85</f>
        <v>Celkem externí efekty - úspory</v>
      </c>
      <c r="D90" s="1367"/>
      <c r="E90" s="1368">
        <f t="shared" ref="E90:S90" si="27">SUM(E89:E89)</f>
        <v>0</v>
      </c>
      <c r="F90" s="1369">
        <f t="shared" si="27"/>
        <v>0</v>
      </c>
      <c r="G90" s="1369">
        <f t="shared" si="27"/>
        <v>0</v>
      </c>
      <c r="H90" s="1369">
        <f t="shared" si="27"/>
        <v>0</v>
      </c>
      <c r="I90" s="1369">
        <f t="shared" si="27"/>
        <v>0</v>
      </c>
      <c r="J90" s="1369">
        <f t="shared" si="27"/>
        <v>0</v>
      </c>
      <c r="K90" s="1369">
        <f t="shared" si="27"/>
        <v>0</v>
      </c>
      <c r="L90" s="1369">
        <f t="shared" si="27"/>
        <v>0</v>
      </c>
      <c r="M90" s="1369">
        <f t="shared" si="27"/>
        <v>0</v>
      </c>
      <c r="N90" s="1369">
        <f t="shared" si="27"/>
        <v>0</v>
      </c>
      <c r="O90" s="1369">
        <f t="shared" si="27"/>
        <v>0</v>
      </c>
      <c r="P90" s="1369">
        <f t="shared" si="27"/>
        <v>0</v>
      </c>
      <c r="Q90" s="1369">
        <f t="shared" si="27"/>
        <v>0</v>
      </c>
      <c r="R90" s="1369">
        <f t="shared" si="27"/>
        <v>0</v>
      </c>
      <c r="S90" s="1370">
        <f t="shared" si="27"/>
        <v>0</v>
      </c>
      <c r="T90" s="237"/>
      <c r="U90" s="237"/>
      <c r="V90" s="237"/>
      <c r="W90" s="237"/>
      <c r="X90" s="237"/>
      <c r="Y90" s="237"/>
      <c r="Z90" s="237"/>
      <c r="AA90" s="237"/>
      <c r="AB90" s="237"/>
      <c r="AC90" s="237"/>
    </row>
    <row r="91" spans="1:29" ht="12.75" customHeight="1" x14ac:dyDescent="0.3">
      <c r="B91" s="585"/>
      <c r="C91" s="585"/>
      <c r="D91" s="585"/>
      <c r="E91" s="585"/>
      <c r="F91" s="585"/>
      <c r="G91" s="585"/>
      <c r="H91" s="585"/>
      <c r="I91" s="585"/>
      <c r="J91" s="585"/>
      <c r="K91" s="585"/>
      <c r="L91" s="585"/>
      <c r="M91" s="585"/>
      <c r="N91" s="585"/>
      <c r="O91" s="585"/>
      <c r="P91" s="585"/>
      <c r="Q91" s="585"/>
      <c r="R91" s="585"/>
      <c r="S91" s="585"/>
    </row>
    <row r="92" spans="1:29" ht="14.25" thickBot="1" x14ac:dyDescent="0.35">
      <c r="B92" s="585"/>
      <c r="C92" s="585"/>
      <c r="D92" s="585"/>
      <c r="E92" s="585"/>
      <c r="F92" s="585"/>
      <c r="G92" s="585"/>
      <c r="H92" s="585"/>
      <c r="I92" s="585"/>
      <c r="J92" s="585"/>
      <c r="K92" s="585"/>
      <c r="L92" s="585"/>
      <c r="M92" s="585"/>
      <c r="N92" s="585"/>
      <c r="O92" s="585"/>
      <c r="P92" s="585"/>
      <c r="Q92" s="585"/>
      <c r="R92" s="585"/>
      <c r="S92" s="585"/>
    </row>
    <row r="93" spans="1:29" s="277" customFormat="1" x14ac:dyDescent="0.25">
      <c r="B93" s="1371"/>
      <c r="C93" s="1372" t="s">
        <v>1523</v>
      </c>
      <c r="D93" s="1373">
        <f>D50</f>
        <v>0</v>
      </c>
      <c r="E93" s="1374"/>
      <c r="F93" s="1132"/>
      <c r="G93" s="1132"/>
      <c r="H93" s="1132"/>
      <c r="I93" s="1132"/>
      <c r="J93" s="1132"/>
      <c r="K93" s="1132"/>
      <c r="L93" s="1132"/>
      <c r="M93" s="1132"/>
      <c r="N93" s="1132"/>
      <c r="O93" s="1132"/>
      <c r="P93" s="1132"/>
      <c r="Q93" s="1134"/>
      <c r="R93" s="1134"/>
      <c r="S93" s="1135"/>
    </row>
    <row r="94" spans="1:29" s="277" customFormat="1" x14ac:dyDescent="0.25">
      <c r="B94" s="1375"/>
      <c r="C94" s="1376" t="s">
        <v>1524</v>
      </c>
      <c r="D94" s="1377">
        <f>D70</f>
        <v>0</v>
      </c>
      <c r="E94" s="1378"/>
      <c r="F94" s="1137"/>
      <c r="G94" s="1132"/>
      <c r="H94" s="1137"/>
      <c r="I94" s="1137"/>
      <c r="J94" s="1137"/>
      <c r="K94" s="1137"/>
      <c r="L94" s="1137"/>
      <c r="M94" s="1137"/>
      <c r="N94" s="1137"/>
      <c r="O94" s="1137"/>
      <c r="P94" s="1137"/>
      <c r="Q94" s="1379"/>
      <c r="R94" s="1379"/>
      <c r="S94" s="1135"/>
    </row>
    <row r="95" spans="1:29" ht="15" thickBot="1" x14ac:dyDescent="0.35">
      <c r="B95" s="1380"/>
      <c r="C95" s="1381" t="s">
        <v>1525</v>
      </c>
      <c r="D95" s="1382">
        <f>D85</f>
        <v>0</v>
      </c>
      <c r="E95" s="1378"/>
      <c r="F95" s="585"/>
      <c r="G95" s="585"/>
      <c r="H95" s="585"/>
      <c r="I95" s="585"/>
      <c r="J95" s="1138"/>
      <c r="K95" s="585"/>
      <c r="L95" s="585"/>
      <c r="M95" s="585"/>
      <c r="N95" s="585"/>
      <c r="O95" s="585"/>
      <c r="P95" s="585"/>
      <c r="Q95" s="585"/>
      <c r="R95" s="585"/>
      <c r="S95" s="585"/>
    </row>
    <row r="96" spans="1:29" x14ac:dyDescent="0.3">
      <c r="B96" s="585"/>
      <c r="C96" s="585"/>
      <c r="D96" s="1383"/>
      <c r="E96" s="585"/>
      <c r="F96" s="585"/>
      <c r="G96" s="585"/>
      <c r="H96" s="585"/>
      <c r="I96" s="585"/>
      <c r="J96" s="585"/>
      <c r="K96" s="585"/>
      <c r="L96" s="585"/>
      <c r="M96" s="585"/>
      <c r="N96" s="585"/>
      <c r="O96" s="585"/>
      <c r="P96" s="585"/>
      <c r="Q96" s="585"/>
      <c r="R96" s="585"/>
      <c r="S96" s="585"/>
    </row>
    <row r="97" spans="2:19" hidden="1" x14ac:dyDescent="0.3">
      <c r="B97" s="585" t="s">
        <v>1463</v>
      </c>
      <c r="C97" s="585"/>
      <c r="D97" s="1383"/>
      <c r="E97" s="1384">
        <f>IFERROR(HLOOKUP($D$107,'0 Úvod'!$D$90:$M$97,7,FALSE),1)</f>
        <v>1.610545985331985</v>
      </c>
      <c r="F97" s="585"/>
      <c r="G97" s="585"/>
      <c r="H97" s="585"/>
      <c r="I97" s="585"/>
      <c r="J97" s="585"/>
      <c r="K97" s="585"/>
      <c r="L97" s="585"/>
      <c r="M97" s="585"/>
      <c r="N97" s="585"/>
      <c r="O97" s="585"/>
      <c r="P97" s="585"/>
      <c r="Q97" s="585"/>
      <c r="R97" s="585"/>
      <c r="S97" s="585"/>
    </row>
    <row r="98" spans="2:19" ht="14.25" hidden="1" x14ac:dyDescent="0.3">
      <c r="B98" s="585" t="s">
        <v>1464</v>
      </c>
      <c r="C98" s="1385"/>
      <c r="D98" s="1385"/>
      <c r="E98" s="1384">
        <f>IFERROR(HLOOKUP($D$107,'0 Úvod'!$D$90:$M$97,8,FALSE),1)</f>
        <v>1.5211239340728759</v>
      </c>
      <c r="F98" s="1385"/>
      <c r="G98" s="1385"/>
      <c r="H98" s="1386"/>
      <c r="I98" s="585"/>
      <c r="J98" s="585"/>
      <c r="K98" s="585"/>
      <c r="L98" s="585"/>
      <c r="M98" s="585"/>
      <c r="N98" s="585"/>
      <c r="O98" s="585"/>
      <c r="P98" s="585"/>
      <c r="Q98" s="585"/>
      <c r="R98" s="585"/>
      <c r="S98" s="585"/>
    </row>
    <row r="99" spans="2:19" ht="13.15" customHeight="1" thickBot="1" x14ac:dyDescent="0.35">
      <c r="B99" s="1387"/>
      <c r="C99" s="1388"/>
      <c r="D99" s="1240"/>
      <c r="E99" s="1240"/>
      <c r="F99" s="1240"/>
      <c r="G99" s="1240"/>
      <c r="H99" s="1386"/>
      <c r="I99" s="1386"/>
      <c r="J99" s="1386"/>
      <c r="K99" s="1386"/>
      <c r="L99" s="1386"/>
      <c r="M99" s="1386"/>
      <c r="N99" s="585"/>
      <c r="O99" s="585"/>
      <c r="P99" s="585"/>
      <c r="Q99" s="585"/>
      <c r="R99" s="585"/>
      <c r="S99" s="585"/>
    </row>
    <row r="100" spans="2:19" ht="15" customHeight="1" thickBot="1" x14ac:dyDescent="0.35">
      <c r="B100" s="2067" t="s">
        <v>1501</v>
      </c>
      <c r="C100" s="2106" t="str">
        <f>IF('0 Úvod'!$M$10="English",Slovnik!$D$330,Slovnik!$C$330)</f>
        <v>Společenské náklady ZNEČIŠTĚNÍ ŽIVOTNÍHO PROSTŘEDÍ a emisí SKLENÍKOVÝCH PLYNŮ</v>
      </c>
      <c r="D100" s="2107"/>
      <c r="E100" s="2107"/>
      <c r="F100" s="2107"/>
      <c r="G100" s="2107"/>
      <c r="H100" s="2107"/>
      <c r="I100" s="2107"/>
      <c r="J100" s="2108"/>
      <c r="K100" s="585"/>
      <c r="L100" s="585"/>
      <c r="M100" s="585"/>
      <c r="N100" s="585"/>
      <c r="O100" s="585"/>
      <c r="P100" s="585"/>
      <c r="Q100" s="585"/>
      <c r="R100" s="585"/>
      <c r="S100" s="585"/>
    </row>
    <row r="101" spans="2:19" ht="14.25" x14ac:dyDescent="0.3">
      <c r="B101" s="2068"/>
      <c r="C101" s="1389" t="str">
        <f>IF('0 Úvod'!$M$10="English",Slovnik!D331,Slovnik!C331)</f>
        <v>charakter zástavby</v>
      </c>
      <c r="D101" s="2070"/>
      <c r="E101" s="2071"/>
      <c r="F101" s="2071"/>
      <c r="G101" s="2071"/>
      <c r="H101" s="2071"/>
      <c r="I101" s="2072"/>
      <c r="J101" s="2082"/>
      <c r="K101" s="585"/>
      <c r="L101" s="585"/>
      <c r="M101" s="585"/>
      <c r="N101" s="585"/>
      <c r="O101" s="585"/>
      <c r="P101" s="585"/>
      <c r="Q101" s="585"/>
      <c r="R101" s="585"/>
      <c r="S101" s="585"/>
    </row>
    <row r="102" spans="2:19" ht="15" customHeight="1" thickBot="1" x14ac:dyDescent="0.35">
      <c r="B102" s="2068"/>
      <c r="C102" s="1390" t="s">
        <v>667</v>
      </c>
      <c r="D102" s="1391" t="s">
        <v>35</v>
      </c>
      <c r="E102" s="1392" t="s">
        <v>36</v>
      </c>
      <c r="F102" s="1392" t="s">
        <v>37</v>
      </c>
      <c r="G102" s="1392" t="s">
        <v>38</v>
      </c>
      <c r="H102" s="1392" t="s">
        <v>39</v>
      </c>
      <c r="I102" s="1393" t="s">
        <v>40</v>
      </c>
      <c r="J102" s="2088"/>
      <c r="K102" s="585"/>
      <c r="L102" s="585"/>
      <c r="M102" s="585"/>
      <c r="N102" s="585"/>
      <c r="O102" s="585"/>
      <c r="P102" s="585"/>
      <c r="Q102" s="585"/>
      <c r="R102" s="585"/>
      <c r="S102" s="585"/>
    </row>
    <row r="103" spans="2:19" ht="14.25" x14ac:dyDescent="0.3">
      <c r="B103" s="2068"/>
      <c r="C103" s="1394" t="s">
        <v>131</v>
      </c>
      <c r="D103" s="2100">
        <v>2017</v>
      </c>
      <c r="E103" s="2101"/>
      <c r="F103" s="2101"/>
      <c r="G103" s="2101"/>
      <c r="H103" s="2101"/>
      <c r="I103" s="2101"/>
      <c r="J103" s="2102"/>
      <c r="K103" s="585"/>
      <c r="L103" s="585"/>
      <c r="M103" s="585"/>
      <c r="N103" s="585"/>
      <c r="O103" s="585"/>
      <c r="P103" s="585"/>
      <c r="Q103" s="585"/>
      <c r="R103" s="585"/>
      <c r="S103" s="585"/>
    </row>
    <row r="104" spans="2:19" ht="13.9" customHeight="1" x14ac:dyDescent="0.3">
      <c r="B104" s="2068"/>
      <c r="C104" s="1395" t="str">
        <f>IF('0 Úvod'!$M$10="English",Slovnik!D334,Slovnik!C333)</f>
        <v>mimo město</v>
      </c>
      <c r="D104" s="2073">
        <v>2877</v>
      </c>
      <c r="E104" s="2075">
        <v>504724</v>
      </c>
      <c r="F104" s="2075">
        <v>451145</v>
      </c>
      <c r="G104" s="2075">
        <v>52685</v>
      </c>
      <c r="H104" s="1396">
        <v>1375556</v>
      </c>
      <c r="I104" s="1397">
        <v>551095</v>
      </c>
      <c r="J104" s="2056" t="s">
        <v>41</v>
      </c>
      <c r="K104" s="585"/>
      <c r="L104" s="585"/>
      <c r="M104" s="585"/>
      <c r="N104" s="585"/>
      <c r="O104" s="585"/>
      <c r="P104" s="585"/>
      <c r="Q104" s="585"/>
      <c r="R104" s="585"/>
      <c r="S104" s="585"/>
    </row>
    <row r="105" spans="2:19" ht="13.9" customHeight="1" x14ac:dyDescent="0.3">
      <c r="B105" s="2068"/>
      <c r="C105" s="1395" t="str">
        <f>IF('0 Úvod'!$M$10="English",Slovnik!D335,Slovnik!C334)</f>
        <v>předměstí</v>
      </c>
      <c r="D105" s="2073"/>
      <c r="E105" s="2075"/>
      <c r="F105" s="2075"/>
      <c r="G105" s="2075"/>
      <c r="H105" s="1398">
        <v>2187533</v>
      </c>
      <c r="I105" s="1399">
        <v>875725</v>
      </c>
      <c r="J105" s="2057"/>
      <c r="K105" s="585"/>
      <c r="L105" s="585"/>
      <c r="M105" s="585"/>
      <c r="N105" s="585"/>
      <c r="O105" s="585"/>
      <c r="P105" s="585"/>
      <c r="Q105" s="585"/>
      <c r="R105" s="585"/>
      <c r="S105" s="585"/>
    </row>
    <row r="106" spans="2:19" ht="15" thickBot="1" x14ac:dyDescent="0.35">
      <c r="B106" s="2068"/>
      <c r="C106" s="1400" t="str">
        <f>IF('0 Úvod'!$M$10="English",Slovnik!D336,Slovnik!C335)</f>
        <v>město</v>
      </c>
      <c r="D106" s="2074"/>
      <c r="E106" s="2076"/>
      <c r="F106" s="2076"/>
      <c r="G106" s="2076"/>
      <c r="H106" s="1401">
        <v>6894628</v>
      </c>
      <c r="I106" s="1402">
        <v>2760095</v>
      </c>
      <c r="J106" s="2058"/>
      <c r="K106" s="585"/>
      <c r="L106" s="585"/>
      <c r="M106" s="585"/>
      <c r="N106" s="585"/>
      <c r="O106" s="585"/>
      <c r="P106" s="585"/>
      <c r="Q106" s="585"/>
      <c r="R106" s="585"/>
      <c r="S106" s="585"/>
    </row>
    <row r="107" spans="2:19" ht="14.25" x14ac:dyDescent="0.3">
      <c r="B107" s="2068"/>
      <c r="C107" s="1403" t="s">
        <v>131</v>
      </c>
      <c r="D107" s="2103">
        <f>'0 Úvod'!D18</f>
        <v>2025</v>
      </c>
      <c r="E107" s="2104"/>
      <c r="F107" s="2104"/>
      <c r="G107" s="2104"/>
      <c r="H107" s="2104"/>
      <c r="I107" s="2104"/>
      <c r="J107" s="2105"/>
      <c r="K107" s="585"/>
      <c r="L107" s="585"/>
      <c r="M107" s="585"/>
      <c r="N107" s="585"/>
      <c r="O107" s="585"/>
      <c r="P107" s="585"/>
      <c r="Q107" s="585"/>
      <c r="R107" s="585"/>
      <c r="S107" s="585"/>
    </row>
    <row r="108" spans="2:19" ht="14.25" x14ac:dyDescent="0.3">
      <c r="B108" s="2068"/>
      <c r="C108" s="1395" t="str">
        <f>IF('0 Úvod'!$M$10="English",Slovnik!D334,Slovnik!C333)</f>
        <v>mimo město</v>
      </c>
      <c r="D108" s="2077">
        <f>D104*$E$97</f>
        <v>4633.540799800121</v>
      </c>
      <c r="E108" s="2077">
        <f t="shared" ref="E108:G108" si="28">E104*$E$97</f>
        <v>812881.21190070082</v>
      </c>
      <c r="F108" s="2077">
        <f t="shared" si="28"/>
        <v>726589.76855259843</v>
      </c>
      <c r="G108" s="2077">
        <f t="shared" si="28"/>
        <v>84851.615237215636</v>
      </c>
      <c r="H108" s="1404">
        <f>H104*$E$97</f>
        <v>2215396.1933993241</v>
      </c>
      <c r="I108" s="1404">
        <f>I104*$E$97</f>
        <v>887563.83978653024</v>
      </c>
      <c r="J108" s="2056" t="s">
        <v>41</v>
      </c>
      <c r="K108" s="585"/>
      <c r="L108" s="585"/>
      <c r="M108" s="585"/>
      <c r="N108" s="585"/>
      <c r="O108" s="585"/>
      <c r="P108" s="585"/>
      <c r="Q108" s="585"/>
      <c r="R108" s="585"/>
      <c r="S108" s="585"/>
    </row>
    <row r="109" spans="2:19" ht="14.25" x14ac:dyDescent="0.3">
      <c r="B109" s="2068"/>
      <c r="C109" s="1395" t="str">
        <f>IF('0 Úvod'!$M$10="English",Slovnik!D335,Slovnik!C334)</f>
        <v>předměstí</v>
      </c>
      <c r="D109" s="2077"/>
      <c r="E109" s="2077"/>
      <c r="F109" s="2077"/>
      <c r="G109" s="2077"/>
      <c r="H109" s="1404">
        <f t="shared" ref="H109:I110" si="29">H105*$E$97</f>
        <v>3523122.4909312334</v>
      </c>
      <c r="I109" s="1404">
        <f t="shared" si="29"/>
        <v>1410395.3830048526</v>
      </c>
      <c r="J109" s="2057"/>
      <c r="K109" s="585"/>
      <c r="L109" s="585"/>
      <c r="M109" s="585"/>
      <c r="N109" s="585"/>
      <c r="O109" s="585"/>
      <c r="P109" s="585"/>
      <c r="Q109" s="585"/>
      <c r="R109" s="585"/>
      <c r="S109" s="585"/>
    </row>
    <row r="110" spans="2:19" ht="15" thickBot="1" x14ac:dyDescent="0.35">
      <c r="B110" s="2069"/>
      <c r="C110" s="1400" t="str">
        <f>IF('0 Úvod'!$M$10="English",Slovnik!D336,Slovnik!C335)</f>
        <v>město</v>
      </c>
      <c r="D110" s="2078"/>
      <c r="E110" s="2078"/>
      <c r="F110" s="2078"/>
      <c r="G110" s="2078"/>
      <c r="H110" s="1404">
        <f t="shared" si="29"/>
        <v>11104115.445757493</v>
      </c>
      <c r="I110" s="1404">
        <f t="shared" si="29"/>
        <v>4445259.921384885</v>
      </c>
      <c r="J110" s="2058"/>
      <c r="K110" s="585"/>
      <c r="L110" s="585"/>
      <c r="M110" s="585"/>
      <c r="N110" s="585"/>
      <c r="O110" s="585"/>
      <c r="P110" s="585"/>
      <c r="Q110" s="585"/>
      <c r="R110" s="585"/>
      <c r="S110" s="585"/>
    </row>
    <row r="111" spans="2:19" ht="13.15" customHeight="1" x14ac:dyDescent="0.3">
      <c r="B111" s="1387"/>
      <c r="C111" s="1405" t="str">
        <f>IF('0 Úvod'!$M$10="English",Slovnik!$E$342,Slovnik!$E$341)</f>
        <v>Zdroj: Aktualizovaná příručka o externích nákladech dopravy, RICARDO-AEA, zpráva pro EK, GŘ pro dopravu a mobilitu, vyd. 01/2014</v>
      </c>
      <c r="D111" s="1240"/>
      <c r="E111" s="1240"/>
      <c r="F111" s="1240"/>
      <c r="G111" s="1240"/>
      <c r="H111" s="1406"/>
      <c r="I111" s="1406"/>
      <c r="J111" s="1386"/>
      <c r="K111" s="585"/>
      <c r="L111" s="585"/>
      <c r="M111" s="585"/>
      <c r="N111" s="585"/>
      <c r="O111" s="585"/>
      <c r="P111" s="585"/>
      <c r="Q111" s="585"/>
      <c r="R111" s="585"/>
      <c r="S111" s="585"/>
    </row>
    <row r="112" spans="2:19" ht="13.15" customHeight="1" x14ac:dyDescent="0.3">
      <c r="B112" s="1387"/>
      <c r="C112" s="1407" t="str">
        <f>IF('0 Úvod'!$M$10="English",Slovnik!$E$345,Slovnik!$E$344)</f>
        <v>Pozn: město - nad 1500 obyvatel/km2; předměstí - 300 obyvatel/km2; mimo město - méně než 150 obyvatel/km2; *hodnoty CO2 platné pouze do roku 2021!</v>
      </c>
      <c r="D112" s="1240"/>
      <c r="E112" s="1240"/>
      <c r="F112" s="1240"/>
      <c r="G112" s="1240"/>
      <c r="H112" s="1386"/>
      <c r="I112" s="1386"/>
      <c r="J112" s="1386"/>
      <c r="K112" s="585"/>
      <c r="L112" s="585"/>
      <c r="M112" s="585"/>
      <c r="N112" s="585"/>
      <c r="O112" s="585"/>
      <c r="P112" s="585"/>
      <c r="Q112" s="585"/>
      <c r="R112" s="585"/>
      <c r="S112" s="585"/>
    </row>
    <row r="113" spans="2:21" ht="13.15" customHeight="1" thickBot="1" x14ac:dyDescent="0.35">
      <c r="B113" s="1387"/>
      <c r="C113" s="1407"/>
      <c r="D113" s="1240"/>
      <c r="E113" s="1240"/>
      <c r="F113" s="1240"/>
      <c r="G113" s="1240"/>
      <c r="H113" s="1386"/>
      <c r="I113" s="1386"/>
      <c r="J113" s="1386"/>
      <c r="K113" s="585"/>
      <c r="L113" s="585"/>
      <c r="M113" s="585"/>
      <c r="N113" s="585"/>
      <c r="O113" s="585"/>
      <c r="P113" s="585"/>
      <c r="Q113" s="585"/>
      <c r="R113" s="585"/>
      <c r="S113" s="585"/>
    </row>
    <row r="114" spans="2:21" ht="13.15" hidden="1" customHeight="1" thickBot="1" x14ac:dyDescent="0.35">
      <c r="B114" s="1387"/>
      <c r="C114" s="1407" t="s">
        <v>1497</v>
      </c>
      <c r="D114" s="1240"/>
      <c r="E114" s="1392" t="s">
        <v>36</v>
      </c>
      <c r="F114" s="1392" t="s">
        <v>37</v>
      </c>
      <c r="G114" s="1392" t="s">
        <v>39</v>
      </c>
      <c r="H114" s="1393" t="s">
        <v>40</v>
      </c>
      <c r="I114" s="1386"/>
      <c r="J114" s="585"/>
      <c r="K114" s="585"/>
      <c r="L114" s="585"/>
      <c r="M114" s="585"/>
      <c r="N114" s="585"/>
      <c r="O114" s="585"/>
      <c r="P114" s="585"/>
      <c r="Q114" s="585"/>
      <c r="R114" s="585"/>
      <c r="S114" s="585"/>
    </row>
    <row r="115" spans="2:21" ht="13.15" hidden="1" customHeight="1" x14ac:dyDescent="0.3">
      <c r="B115" s="1387"/>
      <c r="C115" s="1407"/>
      <c r="D115" s="1240"/>
      <c r="E115" s="1408">
        <f>E108</f>
        <v>812881.21190070082</v>
      </c>
      <c r="F115" s="1408">
        <f>F108</f>
        <v>726589.76855259843</v>
      </c>
      <c r="G115" s="1408">
        <f>H110</f>
        <v>11104115.445757493</v>
      </c>
      <c r="H115" s="1078">
        <f>I110</f>
        <v>4445259.921384885</v>
      </c>
      <c r="I115" s="1386"/>
      <c r="J115" s="1386"/>
      <c r="K115" s="585"/>
      <c r="L115" s="585"/>
      <c r="M115" s="585"/>
      <c r="N115" s="585"/>
      <c r="O115" s="585"/>
      <c r="P115" s="585"/>
      <c r="Q115" s="585"/>
      <c r="R115" s="585"/>
      <c r="S115" s="585"/>
    </row>
    <row r="116" spans="2:21" ht="13.15" hidden="1" customHeight="1" x14ac:dyDescent="0.3">
      <c r="B116" s="1387"/>
      <c r="C116" s="1407"/>
      <c r="D116" s="1240"/>
      <c r="E116" s="1408"/>
      <c r="F116" s="1408"/>
      <c r="G116" s="1408"/>
      <c r="H116" s="1078"/>
      <c r="I116" s="1386"/>
      <c r="J116" s="1386"/>
      <c r="K116" s="585"/>
      <c r="L116" s="585"/>
      <c r="M116" s="585"/>
      <c r="N116" s="585"/>
      <c r="O116" s="585"/>
      <c r="P116" s="585"/>
      <c r="Q116" s="585"/>
      <c r="R116" s="585"/>
      <c r="S116" s="585"/>
    </row>
    <row r="117" spans="2:21" ht="13.15" hidden="1" customHeight="1" thickBot="1" x14ac:dyDescent="0.35">
      <c r="B117" s="1387"/>
      <c r="C117" s="1407"/>
      <c r="D117" s="1240"/>
      <c r="E117" s="1240"/>
      <c r="F117" s="1240"/>
      <c r="G117" s="1240"/>
      <c r="H117" s="1386"/>
      <c r="I117" s="1386"/>
      <c r="J117" s="1386"/>
      <c r="K117" s="585"/>
      <c r="L117" s="585"/>
      <c r="M117" s="585"/>
      <c r="N117" s="585"/>
      <c r="O117" s="585"/>
      <c r="P117" s="585"/>
      <c r="Q117" s="585"/>
      <c r="R117" s="585"/>
      <c r="S117" s="585"/>
    </row>
    <row r="118" spans="2:21" ht="13.15" customHeight="1" thickBot="1" x14ac:dyDescent="0.35">
      <c r="B118" s="2067" t="s">
        <v>1502</v>
      </c>
      <c r="C118" s="2106" t="str">
        <f>IF('0 Úvod'!$M$10="English",Slovnik!$E$331,Slovnik!$E$330)</f>
        <v>Společenské náklady emisí CO2 po roce 2022</v>
      </c>
      <c r="D118" s="2107"/>
      <c r="E118" s="2107"/>
      <c r="F118" s="2107"/>
      <c r="G118" s="2107"/>
      <c r="H118" s="2107"/>
      <c r="I118" s="2107"/>
      <c r="J118" s="2107"/>
      <c r="K118" s="2107"/>
      <c r="L118" s="2107"/>
      <c r="M118" s="2107"/>
      <c r="N118" s="2107"/>
      <c r="O118" s="2107"/>
      <c r="P118" s="2107"/>
      <c r="Q118" s="2107"/>
      <c r="R118" s="2108"/>
      <c r="S118" s="585"/>
    </row>
    <row r="119" spans="2:21" ht="13.15" customHeight="1" thickBot="1" x14ac:dyDescent="0.35">
      <c r="B119" s="2068"/>
      <c r="C119" s="1409" t="str">
        <f>IF('0 Úvod'!$M$10="English",Slovnik!D22,Slovnik!C22)</f>
        <v>rok</v>
      </c>
      <c r="D119" s="1410">
        <v>2022</v>
      </c>
      <c r="E119" s="1411">
        <v>2023</v>
      </c>
      <c r="F119" s="1411">
        <v>2024</v>
      </c>
      <c r="G119" s="1411">
        <v>2025</v>
      </c>
      <c r="H119" s="1411">
        <v>2026</v>
      </c>
      <c r="I119" s="1411">
        <v>2027</v>
      </c>
      <c r="J119" s="1411">
        <v>2028</v>
      </c>
      <c r="K119" s="1411">
        <v>2029</v>
      </c>
      <c r="L119" s="1411">
        <v>2030</v>
      </c>
      <c r="M119" s="1411">
        <v>2031</v>
      </c>
      <c r="N119" s="1411">
        <v>2032</v>
      </c>
      <c r="O119" s="1411">
        <v>2033</v>
      </c>
      <c r="P119" s="1411">
        <v>2034</v>
      </c>
      <c r="Q119" s="1411">
        <v>2035</v>
      </c>
      <c r="R119" s="1412">
        <v>2036</v>
      </c>
      <c r="S119" s="585"/>
    </row>
    <row r="120" spans="2:21" ht="13.15" customHeight="1" thickBot="1" x14ac:dyDescent="0.35">
      <c r="B120" s="2068"/>
      <c r="C120" s="1394" t="str">
        <f>C107</f>
        <v>CÚ</v>
      </c>
      <c r="D120" s="2146">
        <v>2017</v>
      </c>
      <c r="E120" s="2147"/>
      <c r="F120" s="2147"/>
      <c r="G120" s="2147"/>
      <c r="H120" s="2147"/>
      <c r="I120" s="2147"/>
      <c r="J120" s="2147"/>
      <c r="K120" s="2147"/>
      <c r="L120" s="2147"/>
      <c r="M120" s="2147"/>
      <c r="N120" s="2147"/>
      <c r="O120" s="2147"/>
      <c r="P120" s="2147"/>
      <c r="Q120" s="2147"/>
      <c r="R120" s="2148"/>
      <c r="S120" s="585"/>
      <c r="U120" s="299"/>
    </row>
    <row r="121" spans="2:21" ht="13.15" customHeight="1" thickBot="1" x14ac:dyDescent="0.35">
      <c r="B121" s="2068"/>
      <c r="C121" s="1395" t="s">
        <v>41</v>
      </c>
      <c r="D121" s="1413">
        <v>3128</v>
      </c>
      <c r="E121" s="1414">
        <v>3594</v>
      </c>
      <c r="F121" s="1414">
        <v>4061</v>
      </c>
      <c r="G121" s="1414">
        <v>4527</v>
      </c>
      <c r="H121" s="1415">
        <v>4994</v>
      </c>
      <c r="I121" s="1415">
        <v>5460</v>
      </c>
      <c r="J121" s="1414">
        <v>5927</v>
      </c>
      <c r="K121" s="1416">
        <v>6393</v>
      </c>
      <c r="L121" s="1416">
        <v>6860</v>
      </c>
      <c r="M121" s="1416">
        <v>7628</v>
      </c>
      <c r="N121" s="1416">
        <v>8396</v>
      </c>
      <c r="O121" s="1416">
        <v>9165</v>
      </c>
      <c r="P121" s="1416">
        <v>9933</v>
      </c>
      <c r="Q121" s="1416">
        <v>10701</v>
      </c>
      <c r="R121" s="1417">
        <v>11442</v>
      </c>
      <c r="S121" s="585"/>
      <c r="U121" s="299"/>
    </row>
    <row r="122" spans="2:21" ht="13.15" customHeight="1" thickBot="1" x14ac:dyDescent="0.35">
      <c r="B122" s="2068"/>
      <c r="C122" s="1418" t="str">
        <f>C119</f>
        <v>rok</v>
      </c>
      <c r="D122" s="1410">
        <v>2037</v>
      </c>
      <c r="E122" s="1411">
        <v>2038</v>
      </c>
      <c r="F122" s="1411">
        <v>2039</v>
      </c>
      <c r="G122" s="1411">
        <v>2040</v>
      </c>
      <c r="H122" s="1411">
        <v>2041</v>
      </c>
      <c r="I122" s="1411">
        <v>2042</v>
      </c>
      <c r="J122" s="1411">
        <v>2043</v>
      </c>
      <c r="K122" s="1411">
        <v>2044</v>
      </c>
      <c r="L122" s="1411">
        <v>2045</v>
      </c>
      <c r="M122" s="1411">
        <v>2046</v>
      </c>
      <c r="N122" s="1411">
        <v>2047</v>
      </c>
      <c r="O122" s="1411">
        <v>2048</v>
      </c>
      <c r="P122" s="1411">
        <v>2049</v>
      </c>
      <c r="Q122" s="1411">
        <v>2050</v>
      </c>
      <c r="R122" s="1412">
        <v>2051</v>
      </c>
      <c r="S122" s="585"/>
      <c r="U122" s="299"/>
    </row>
    <row r="123" spans="2:21" ht="13.15" customHeight="1" thickBot="1" x14ac:dyDescent="0.35">
      <c r="B123" s="2068"/>
      <c r="C123" s="1419" t="str">
        <f>C120</f>
        <v>CÚ</v>
      </c>
      <c r="D123" s="2146">
        <v>2017</v>
      </c>
      <c r="E123" s="2147"/>
      <c r="F123" s="2147"/>
      <c r="G123" s="2147"/>
      <c r="H123" s="2147"/>
      <c r="I123" s="2147"/>
      <c r="J123" s="2147"/>
      <c r="K123" s="2147"/>
      <c r="L123" s="2147"/>
      <c r="M123" s="2147"/>
      <c r="N123" s="2147"/>
      <c r="O123" s="2147"/>
      <c r="P123" s="2147"/>
      <c r="Q123" s="2147"/>
      <c r="R123" s="2148"/>
      <c r="S123" s="585"/>
      <c r="U123" s="299"/>
    </row>
    <row r="124" spans="2:21" ht="13.15" customHeight="1" thickBot="1" x14ac:dyDescent="0.35">
      <c r="B124" s="2068"/>
      <c r="C124" s="1400" t="str">
        <f>C121</f>
        <v>CZK/t</v>
      </c>
      <c r="D124" s="1413">
        <v>12183</v>
      </c>
      <c r="E124" s="1414">
        <v>12924</v>
      </c>
      <c r="F124" s="1414">
        <v>13665</v>
      </c>
      <c r="G124" s="1414">
        <v>14405</v>
      </c>
      <c r="H124" s="1415">
        <v>15146</v>
      </c>
      <c r="I124" s="1415">
        <v>15887</v>
      </c>
      <c r="J124" s="1414">
        <v>16628</v>
      </c>
      <c r="K124" s="1416">
        <v>17369</v>
      </c>
      <c r="L124" s="1416">
        <v>18110</v>
      </c>
      <c r="M124" s="1416">
        <v>18878</v>
      </c>
      <c r="N124" s="1416">
        <v>19646</v>
      </c>
      <c r="O124" s="1416">
        <v>20414</v>
      </c>
      <c r="P124" s="1416">
        <v>21183</v>
      </c>
      <c r="Q124" s="1416">
        <v>21951</v>
      </c>
      <c r="R124" s="1417">
        <v>21951</v>
      </c>
      <c r="S124" s="585"/>
      <c r="U124" s="299"/>
    </row>
    <row r="125" spans="2:21" ht="13.15" customHeight="1" thickBot="1" x14ac:dyDescent="0.35">
      <c r="B125" s="2068"/>
      <c r="C125" s="1420" t="str">
        <f>C119</f>
        <v>rok</v>
      </c>
      <c r="D125" s="1410">
        <v>2022</v>
      </c>
      <c r="E125" s="1411">
        <v>2023</v>
      </c>
      <c r="F125" s="1411">
        <v>2024</v>
      </c>
      <c r="G125" s="1411">
        <v>2025</v>
      </c>
      <c r="H125" s="1411">
        <v>2026</v>
      </c>
      <c r="I125" s="1411">
        <v>2027</v>
      </c>
      <c r="J125" s="1411">
        <v>2028</v>
      </c>
      <c r="K125" s="1411">
        <v>2029</v>
      </c>
      <c r="L125" s="1411">
        <v>2030</v>
      </c>
      <c r="M125" s="1411">
        <v>2031</v>
      </c>
      <c r="N125" s="1411">
        <v>2032</v>
      </c>
      <c r="O125" s="1411">
        <v>2033</v>
      </c>
      <c r="P125" s="1411">
        <v>2034</v>
      </c>
      <c r="Q125" s="1411">
        <v>2035</v>
      </c>
      <c r="R125" s="1412">
        <v>2036</v>
      </c>
      <c r="S125" s="585"/>
      <c r="U125" s="299"/>
    </row>
    <row r="126" spans="2:21" ht="13.15" customHeight="1" thickBot="1" x14ac:dyDescent="0.35">
      <c r="B126" s="2068"/>
      <c r="C126" s="1403" t="str">
        <f>C120</f>
        <v>CÚ</v>
      </c>
      <c r="D126" s="2149">
        <f>'0 Úvod'!D18</f>
        <v>2025</v>
      </c>
      <c r="E126" s="2150"/>
      <c r="F126" s="2150"/>
      <c r="G126" s="2150"/>
      <c r="H126" s="2150"/>
      <c r="I126" s="2150"/>
      <c r="J126" s="2150"/>
      <c r="K126" s="2150"/>
      <c r="L126" s="2150"/>
      <c r="M126" s="2150"/>
      <c r="N126" s="2150"/>
      <c r="O126" s="2150"/>
      <c r="P126" s="2150"/>
      <c r="Q126" s="2150"/>
      <c r="R126" s="2151"/>
      <c r="S126" s="585"/>
      <c r="U126" s="299"/>
    </row>
    <row r="127" spans="2:21" ht="13.15" customHeight="1" thickBot="1" x14ac:dyDescent="0.35">
      <c r="B127" s="2068"/>
      <c r="C127" s="1395" t="s">
        <v>41</v>
      </c>
      <c r="D127" s="1413">
        <f>D121*$E$98</f>
        <v>4758.0756657799557</v>
      </c>
      <c r="E127" s="1414">
        <f t="shared" ref="E127:R127" si="30">E121*$E$98</f>
        <v>5466.9194190579165</v>
      </c>
      <c r="F127" s="1414">
        <f t="shared" si="30"/>
        <v>6177.2842962699488</v>
      </c>
      <c r="G127" s="1414">
        <f t="shared" si="30"/>
        <v>6886.1280495479095</v>
      </c>
      <c r="H127" s="1415">
        <f t="shared" si="30"/>
        <v>7596.4929267599427</v>
      </c>
      <c r="I127" s="1415">
        <f t="shared" si="30"/>
        <v>8305.3366800379026</v>
      </c>
      <c r="J127" s="1414">
        <f t="shared" si="30"/>
        <v>9015.7015572499349</v>
      </c>
      <c r="K127" s="1416">
        <f t="shared" si="30"/>
        <v>9724.5453105278957</v>
      </c>
      <c r="L127" s="1416">
        <f t="shared" si="30"/>
        <v>10434.91018773993</v>
      </c>
      <c r="M127" s="1416">
        <f t="shared" si="30"/>
        <v>11603.133369107898</v>
      </c>
      <c r="N127" s="1416">
        <f t="shared" si="30"/>
        <v>12771.356550475866</v>
      </c>
      <c r="O127" s="1416">
        <f t="shared" si="30"/>
        <v>13941.100855777908</v>
      </c>
      <c r="P127" s="1416">
        <f t="shared" si="30"/>
        <v>15109.324037145876</v>
      </c>
      <c r="Q127" s="1416">
        <f t="shared" si="30"/>
        <v>16277.547218513846</v>
      </c>
      <c r="R127" s="1417">
        <f t="shared" si="30"/>
        <v>17404.700053661847</v>
      </c>
      <c r="S127" s="1421"/>
      <c r="U127" s="299"/>
    </row>
    <row r="128" spans="2:21" ht="13.15" customHeight="1" thickBot="1" x14ac:dyDescent="0.35">
      <c r="B128" s="2068"/>
      <c r="C128" s="1418" t="str">
        <f>C125</f>
        <v>rok</v>
      </c>
      <c r="D128" s="1410">
        <v>2037</v>
      </c>
      <c r="E128" s="1411">
        <v>2038</v>
      </c>
      <c r="F128" s="1411">
        <v>2039</v>
      </c>
      <c r="G128" s="1411">
        <v>2040</v>
      </c>
      <c r="H128" s="1411">
        <v>2041</v>
      </c>
      <c r="I128" s="1411">
        <v>2042</v>
      </c>
      <c r="J128" s="1411">
        <v>2043</v>
      </c>
      <c r="K128" s="1411">
        <v>2044</v>
      </c>
      <c r="L128" s="1411">
        <v>2045</v>
      </c>
      <c r="M128" s="1411">
        <v>2046</v>
      </c>
      <c r="N128" s="1411">
        <v>2047</v>
      </c>
      <c r="O128" s="1411">
        <v>2048</v>
      </c>
      <c r="P128" s="1411">
        <v>2049</v>
      </c>
      <c r="Q128" s="1411">
        <v>2050</v>
      </c>
      <c r="R128" s="1412"/>
      <c r="S128" s="585"/>
      <c r="U128" s="299"/>
    </row>
    <row r="129" spans="2:21" ht="13.15" customHeight="1" thickBot="1" x14ac:dyDescent="0.35">
      <c r="B129" s="2068"/>
      <c r="C129" s="1395" t="str">
        <f>C126</f>
        <v>CÚ</v>
      </c>
      <c r="D129" s="2149">
        <f>D126</f>
        <v>2025</v>
      </c>
      <c r="E129" s="2150"/>
      <c r="F129" s="2150"/>
      <c r="G129" s="2150"/>
      <c r="H129" s="2150"/>
      <c r="I129" s="2150"/>
      <c r="J129" s="2150"/>
      <c r="K129" s="2150"/>
      <c r="L129" s="2150"/>
      <c r="M129" s="2150"/>
      <c r="N129" s="2150"/>
      <c r="O129" s="2150"/>
      <c r="P129" s="2150"/>
      <c r="Q129" s="2150"/>
      <c r="R129" s="2151"/>
      <c r="S129" s="585"/>
      <c r="U129" s="299"/>
    </row>
    <row r="130" spans="2:21" ht="13.15" customHeight="1" thickBot="1" x14ac:dyDescent="0.35">
      <c r="B130" s="2069"/>
      <c r="C130" s="1400" t="str">
        <f>C127</f>
        <v>CZK/t</v>
      </c>
      <c r="D130" s="1413">
        <f>D124*$E$98</f>
        <v>18531.852888809848</v>
      </c>
      <c r="E130" s="1414">
        <f t="shared" ref="E130:R130" si="31">E124*$E$98</f>
        <v>19659.005723957849</v>
      </c>
      <c r="F130" s="1414">
        <f t="shared" si="31"/>
        <v>20786.15855910585</v>
      </c>
      <c r="G130" s="1414">
        <f t="shared" si="31"/>
        <v>21911.79027031978</v>
      </c>
      <c r="H130" s="1415">
        <f t="shared" si="31"/>
        <v>23038.943105467781</v>
      </c>
      <c r="I130" s="1415">
        <f t="shared" si="31"/>
        <v>24166.095940615782</v>
      </c>
      <c r="J130" s="1414">
        <f t="shared" si="31"/>
        <v>25293.248775763783</v>
      </c>
      <c r="K130" s="1416">
        <f t="shared" si="31"/>
        <v>26420.401610911784</v>
      </c>
      <c r="L130" s="1416">
        <f t="shared" si="31"/>
        <v>27547.554446059785</v>
      </c>
      <c r="M130" s="1416">
        <f t="shared" si="31"/>
        <v>28715.777627427753</v>
      </c>
      <c r="N130" s="1416">
        <f t="shared" si="31"/>
        <v>29884.000808795721</v>
      </c>
      <c r="O130" s="1416">
        <f t="shared" si="31"/>
        <v>31052.223990163689</v>
      </c>
      <c r="P130" s="1416">
        <f t="shared" si="31"/>
        <v>32221.968295465733</v>
      </c>
      <c r="Q130" s="1416">
        <f t="shared" si="31"/>
        <v>33390.191476833701</v>
      </c>
      <c r="R130" s="1417">
        <f t="shared" si="31"/>
        <v>33390.191476833701</v>
      </c>
      <c r="S130" s="585"/>
      <c r="U130" s="299"/>
    </row>
    <row r="131" spans="2:21" ht="13.15" customHeight="1" x14ac:dyDescent="0.3">
      <c r="B131" s="1387"/>
      <c r="C131" s="1405" t="str">
        <f>IF('0 Úvod'!$M$10="English",Slovnik!$E$333,Slovnik!$E$332)</f>
        <v>Zdroj: Technické pokyny k prověřování infrastruktury z hlediska klimatického dopadu v období 2021 – 2027 (2021/C 373/01), 09/2021</v>
      </c>
      <c r="D131" s="1240"/>
      <c r="E131" s="1240"/>
      <c r="F131" s="1240"/>
      <c r="G131" s="1240"/>
      <c r="H131" s="1386"/>
      <c r="I131" s="1386"/>
      <c r="J131" s="1386"/>
      <c r="K131" s="585"/>
      <c r="L131" s="585"/>
      <c r="M131" s="585"/>
      <c r="N131" s="585"/>
      <c r="O131" s="585"/>
      <c r="P131" s="585"/>
      <c r="Q131" s="585"/>
      <c r="R131" s="585"/>
      <c r="S131" s="585"/>
      <c r="U131" s="299"/>
    </row>
    <row r="132" spans="2:21" ht="13.15" customHeight="1" x14ac:dyDescent="0.3">
      <c r="B132" s="1387"/>
      <c r="C132" s="1422" t="str">
        <f>IF('0 Úvod'!$M$10="English",Slovnik!$E$335,Slovnik!$E$334)</f>
        <v>Pozn: Platí pro výpočty od roku 2022 vč., již zahrnuje navyšování v letech a neaplikuje se indexace hodnotami z tabulky 6.19. a, resp. 6.19. b! Je však nutné provést převod na správnou CÚ s využitím obecné inflace.</v>
      </c>
      <c r="D132" s="1240"/>
      <c r="E132" s="1240"/>
      <c r="F132" s="1240"/>
      <c r="G132" s="1240"/>
      <c r="H132" s="1386"/>
      <c r="I132" s="1386"/>
      <c r="J132" s="1386"/>
      <c r="K132" s="585"/>
      <c r="L132" s="585"/>
      <c r="M132" s="585"/>
      <c r="N132" s="585"/>
      <c r="O132" s="585"/>
      <c r="P132" s="585"/>
      <c r="Q132" s="585"/>
      <c r="R132" s="585"/>
      <c r="S132" s="585"/>
      <c r="U132" s="299"/>
    </row>
    <row r="133" spans="2:21" ht="13.15" customHeight="1" thickBot="1" x14ac:dyDescent="0.35">
      <c r="B133" s="1387"/>
      <c r="C133" s="1240"/>
      <c r="D133" s="1240"/>
      <c r="E133" s="1240"/>
      <c r="F133" s="1240"/>
      <c r="G133" s="1240"/>
      <c r="H133" s="1386"/>
      <c r="I133" s="1386"/>
      <c r="J133" s="1386" t="s">
        <v>2</v>
      </c>
      <c r="K133" s="585"/>
      <c r="L133" s="585"/>
      <c r="M133" s="585"/>
      <c r="N133" s="585"/>
      <c r="O133" s="585"/>
      <c r="P133" s="585"/>
      <c r="Q133" s="585"/>
      <c r="R133" s="585"/>
      <c r="S133" s="585"/>
      <c r="U133" s="299"/>
    </row>
    <row r="134" spans="2:21" ht="15" customHeight="1" thickBot="1" x14ac:dyDescent="0.35">
      <c r="B134" s="2067" t="s">
        <v>1503</v>
      </c>
      <c r="C134" s="2106" t="str">
        <f>IF('0 Úvod'!$M$10="English",Slovnik!$D$338,Slovnik!$C$336)</f>
        <v>EMISNÍ FAKTORY sledovaných polutantů nákladní dopravy</v>
      </c>
      <c r="D134" s="2107"/>
      <c r="E134" s="2107"/>
      <c r="F134" s="2107"/>
      <c r="G134" s="2107"/>
      <c r="H134" s="2107"/>
      <c r="I134" s="2108"/>
      <c r="J134" s="585"/>
      <c r="K134" s="585"/>
      <c r="L134" s="585"/>
      <c r="M134" s="585"/>
      <c r="N134" s="585"/>
      <c r="O134" s="585"/>
      <c r="P134" s="585"/>
      <c r="Q134" s="585"/>
      <c r="R134" s="585"/>
      <c r="S134" s="585"/>
      <c r="U134" s="299"/>
    </row>
    <row r="135" spans="2:21" ht="13.15" customHeight="1" thickBot="1" x14ac:dyDescent="0.35">
      <c r="B135" s="2068"/>
      <c r="C135" s="2143" t="str">
        <f>IF('0 Úvod'!$M$10="English",Slovnik!$D$337,Slovnik!$C$337)</f>
        <v>emisní faktor - OSOBNÍ DOPRAVA</v>
      </c>
      <c r="D135" s="2144"/>
      <c r="E135" s="2144"/>
      <c r="F135" s="2144"/>
      <c r="G135" s="2144"/>
      <c r="H135" s="2144"/>
      <c r="I135" s="2145"/>
      <c r="J135" s="1423"/>
      <c r="K135" s="585"/>
      <c r="L135" s="585"/>
      <c r="M135" s="1423"/>
      <c r="N135" s="585"/>
      <c r="O135" s="1423"/>
      <c r="P135" s="585"/>
      <c r="Q135" s="585"/>
      <c r="R135" s="585"/>
      <c r="S135" s="585"/>
      <c r="U135" s="299"/>
    </row>
    <row r="136" spans="2:21" ht="14.25" customHeight="1" thickBot="1" x14ac:dyDescent="0.35">
      <c r="B136" s="2068"/>
      <c r="C136" s="1424" t="str">
        <f>IF('0 Úvod'!$M$10="English",Slovnik!$D$338,Slovnik!$C$338)</f>
        <v>dopravní mód, jednotka</v>
      </c>
      <c r="D136" s="1425" t="str">
        <f>IF('0 Úvod'!$M$10="English",Slovnik!D341,Slovnik!C341)</f>
        <v>polutant</v>
      </c>
      <c r="E136" s="1410" t="s">
        <v>42</v>
      </c>
      <c r="F136" s="1411" t="s">
        <v>36</v>
      </c>
      <c r="G136" s="1411" t="s">
        <v>37</v>
      </c>
      <c r="H136" s="1411" t="s">
        <v>39</v>
      </c>
      <c r="I136" s="1412" t="s">
        <v>40</v>
      </c>
      <c r="J136" s="1423"/>
      <c r="K136" s="1426" t="s">
        <v>1558</v>
      </c>
      <c r="L136" s="585"/>
      <c r="M136" s="1423"/>
      <c r="N136" s="585"/>
      <c r="O136" s="1423"/>
      <c r="P136" s="585"/>
      <c r="Q136" s="585"/>
      <c r="R136" s="585"/>
      <c r="S136" s="585"/>
      <c r="U136" s="299"/>
    </row>
    <row r="137" spans="2:21" ht="13.15" customHeight="1" x14ac:dyDescent="0.3">
      <c r="B137" s="2068"/>
      <c r="C137" s="2083" t="str">
        <f>IF('0 Úvod'!$M$10="English",Slovnik!$D$339,Slovnik!$C$339)</f>
        <v>SILNIČNÍ DOPRAVA
[g/vozokm]</v>
      </c>
      <c r="D137" s="1427" t="str">
        <f>IF('0 Úvod'!$M$10="English",Slovnik!D767,Slovnik!C767)</f>
        <v>IAD - průměr</v>
      </c>
      <c r="E137" s="1428">
        <v>180</v>
      </c>
      <c r="F137" s="1429">
        <v>0.51200000000000001</v>
      </c>
      <c r="G137" s="1429">
        <v>6.0000000000000001E-3</v>
      </c>
      <c r="H137" s="1429">
        <v>2.9000000000000001E-2</v>
      </c>
      <c r="I137" s="1430">
        <v>5.0999999999999997E-2</v>
      </c>
      <c r="J137" s="585"/>
      <c r="K137" s="1431" t="s">
        <v>1400</v>
      </c>
      <c r="L137" s="585"/>
      <c r="M137" s="585"/>
      <c r="N137" s="585"/>
      <c r="O137" s="585"/>
      <c r="P137" s="585"/>
      <c r="Q137" s="585"/>
      <c r="R137" s="585"/>
      <c r="S137" s="585"/>
      <c r="U137" s="299"/>
    </row>
    <row r="138" spans="2:21" ht="13.15" customHeight="1" x14ac:dyDescent="0.3">
      <c r="B138" s="2068"/>
      <c r="C138" s="2083"/>
      <c r="D138" s="1427" t="str">
        <f>IF('0 Úvod'!$M$10="English",Slovnik!D768,Slovnik!C768)</f>
        <v>IAD - město</v>
      </c>
      <c r="E138" s="1428">
        <v>240</v>
      </c>
      <c r="F138" s="1429">
        <v>0.68300000000000005</v>
      </c>
      <c r="G138" s="1429">
        <v>7.0000000000000001E-3</v>
      </c>
      <c r="H138" s="1429">
        <v>3.9E-2</v>
      </c>
      <c r="I138" s="1430">
        <v>6.8000000000000005E-2</v>
      </c>
      <c r="J138" s="585"/>
      <c r="K138" s="585" t="s">
        <v>1401</v>
      </c>
      <c r="L138" s="585"/>
      <c r="M138" s="585"/>
      <c r="N138" s="585"/>
      <c r="O138" s="585"/>
      <c r="P138" s="585"/>
      <c r="Q138" s="585"/>
      <c r="R138" s="585"/>
      <c r="S138" s="585"/>
      <c r="U138" s="299"/>
    </row>
    <row r="139" spans="2:21" ht="13.15" customHeight="1" x14ac:dyDescent="0.3">
      <c r="B139" s="2068"/>
      <c r="C139" s="2083"/>
      <c r="D139" s="1432" t="str">
        <f>IF('0 Úvod'!$M$10="English",Slovnik!D769,Slovnik!C769)</f>
        <v>BUS - dálkový</v>
      </c>
      <c r="E139" s="1428">
        <v>783</v>
      </c>
      <c r="F139" s="1429">
        <v>4.7789999999999999</v>
      </c>
      <c r="G139" s="1429">
        <v>5.0999999999999997E-2</v>
      </c>
      <c r="H139" s="1429">
        <v>9.8000000000000004E-2</v>
      </c>
      <c r="I139" s="1430">
        <v>0.94199999999999995</v>
      </c>
      <c r="J139" s="585"/>
      <c r="K139" s="585" t="s">
        <v>1402</v>
      </c>
      <c r="L139" s="585"/>
      <c r="M139" s="585"/>
      <c r="N139" s="585"/>
      <c r="O139" s="585"/>
      <c r="P139" s="585"/>
      <c r="Q139" s="585"/>
      <c r="R139" s="585"/>
      <c r="S139" s="585"/>
      <c r="U139" s="299"/>
    </row>
    <row r="140" spans="2:21" ht="15" thickBot="1" x14ac:dyDescent="0.35">
      <c r="B140" s="2068"/>
      <c r="C140" s="2088"/>
      <c r="D140" s="1433" t="str">
        <f>IF('0 Úvod'!$M$10="English",Slovnik!D770,Slovnik!C770)</f>
        <v>BUS - město</v>
      </c>
      <c r="E140" s="1434">
        <v>862</v>
      </c>
      <c r="F140" s="1435">
        <v>5.2610000000000001</v>
      </c>
      <c r="G140" s="1435">
        <v>5.7000000000000002E-2</v>
      </c>
      <c r="H140" s="1435">
        <v>0.108</v>
      </c>
      <c r="I140" s="1436">
        <v>1.038</v>
      </c>
      <c r="J140" s="585"/>
      <c r="K140" s="585" t="s">
        <v>1403</v>
      </c>
      <c r="L140" s="585"/>
      <c r="M140" s="585"/>
      <c r="N140" s="585"/>
      <c r="O140" s="585"/>
      <c r="P140" s="585"/>
      <c r="Q140" s="585"/>
      <c r="R140" s="585"/>
      <c r="S140" s="585"/>
      <c r="U140" s="299"/>
    </row>
    <row r="141" spans="2:21" ht="13.15" customHeight="1" x14ac:dyDescent="0.3">
      <c r="B141" s="2068"/>
      <c r="C141" s="2082" t="str">
        <f>IF('0 Úvod'!$M$10="English",Slovnik!$D$340,Slovnik!$C$340)</f>
        <v>ŽELEZNIČNÍ DOPRAVA
[g/vlkm]</v>
      </c>
      <c r="D141" s="1437" t="str">
        <f>IF('0 Úvod'!$M$10="English",Slovnik!D771,Slovnik!C771)</f>
        <v>DIESEL regionální</v>
      </c>
      <c r="E141" s="1438">
        <v>1848</v>
      </c>
      <c r="F141" s="1439">
        <v>0.20599999999999999</v>
      </c>
      <c r="G141" s="1439">
        <v>2E-3</v>
      </c>
      <c r="H141" s="1439">
        <v>0.33700000000000002</v>
      </c>
      <c r="I141" s="1440">
        <v>1.9870000000000001</v>
      </c>
      <c r="J141" s="585"/>
      <c r="K141" s="585"/>
      <c r="L141" s="585"/>
      <c r="M141" s="585"/>
      <c r="N141" s="585"/>
      <c r="O141" s="585"/>
      <c r="P141" s="585"/>
      <c r="Q141" s="585"/>
      <c r="R141" s="585"/>
      <c r="S141" s="585"/>
      <c r="U141" s="299"/>
    </row>
    <row r="142" spans="2:21" ht="13.15" customHeight="1" x14ac:dyDescent="0.3">
      <c r="B142" s="2068"/>
      <c r="C142" s="2083"/>
      <c r="D142" s="1432" t="str">
        <f>IF('0 Úvod'!$M$10="English",Slovnik!D772,Slovnik!C772)</f>
        <v>DIESEL dálková</v>
      </c>
      <c r="E142" s="1428">
        <v>9765</v>
      </c>
      <c r="F142" s="1429">
        <v>1.089</v>
      </c>
      <c r="G142" s="1429">
        <v>8.9999999999999993E-3</v>
      </c>
      <c r="H142" s="1429">
        <v>1.7809999999999999</v>
      </c>
      <c r="I142" s="1430">
        <v>10.5</v>
      </c>
      <c r="J142" s="585"/>
      <c r="K142" s="585" t="s">
        <v>1405</v>
      </c>
      <c r="L142" s="585"/>
      <c r="M142" s="585"/>
      <c r="N142" s="585"/>
      <c r="O142" s="585"/>
      <c r="P142" s="585"/>
      <c r="Q142" s="585"/>
      <c r="R142" s="585"/>
      <c r="S142" s="585"/>
      <c r="U142" s="299"/>
    </row>
    <row r="143" spans="2:21" ht="13.15" customHeight="1" x14ac:dyDescent="0.3">
      <c r="B143" s="2068"/>
      <c r="C143" s="2083"/>
      <c r="D143" s="1432" t="str">
        <f>IF('0 Úvod'!$M$10="English",Slovnik!D773,Slovnik!C773)</f>
        <v>ELEKTRICKÁ regionální</v>
      </c>
      <c r="E143" s="1428">
        <v>2766</v>
      </c>
      <c r="F143" s="1429">
        <v>1.7000000000000001E-2</v>
      </c>
      <c r="G143" s="1429">
        <v>0</v>
      </c>
      <c r="H143" s="1429">
        <v>3.2000000000000001E-2</v>
      </c>
      <c r="I143" s="1430">
        <v>0.188</v>
      </c>
      <c r="J143" s="585"/>
      <c r="K143" s="585" t="s">
        <v>1404</v>
      </c>
      <c r="L143" s="585"/>
      <c r="M143" s="585"/>
      <c r="N143" s="585"/>
      <c r="O143" s="585"/>
      <c r="P143" s="585"/>
      <c r="Q143" s="585"/>
      <c r="R143" s="585"/>
      <c r="S143" s="585"/>
      <c r="U143" s="299"/>
    </row>
    <row r="144" spans="2:21" ht="13.15" customHeight="1" thickBot="1" x14ac:dyDescent="0.35">
      <c r="B144" s="2068"/>
      <c r="C144" s="2083"/>
      <c r="D144" s="1441" t="str">
        <f>IF('0 Úvod'!$M$10="English",Slovnik!D774,Slovnik!C774)</f>
        <v>ELEKTRICKÁ dálková</v>
      </c>
      <c r="E144" s="1442">
        <v>6915</v>
      </c>
      <c r="F144" s="1443">
        <v>4.2999999999999997E-2</v>
      </c>
      <c r="G144" s="1443">
        <v>0</v>
      </c>
      <c r="H144" s="1443">
        <v>0.08</v>
      </c>
      <c r="I144" s="1444">
        <v>0.46899999999999997</v>
      </c>
      <c r="J144" s="585"/>
      <c r="K144" s="585" t="s">
        <v>1406</v>
      </c>
      <c r="L144" s="585"/>
      <c r="M144" s="585"/>
      <c r="N144" s="585"/>
      <c r="O144" s="585"/>
      <c r="P144" s="585"/>
      <c r="Q144" s="585"/>
      <c r="R144" s="585"/>
      <c r="S144" s="585"/>
      <c r="U144" s="299"/>
    </row>
    <row r="145" spans="2:21" ht="13.15" customHeight="1" x14ac:dyDescent="0.3">
      <c r="B145" s="2068"/>
      <c r="C145" s="2082" t="str">
        <f>IF('0 Úvod'!$M$10="English",Slovnik!$D$775,Slovnik!$C$775)</f>
        <v>LETECKÁ DOPRAVA [g/letkm]</v>
      </c>
      <c r="D145" s="1437" t="str">
        <f>IF('0 Úvod'!$M$10="English",Slovnik!D776,Slovnik!C776)</f>
        <v>vnitrostátní</v>
      </c>
      <c r="E145" s="1438">
        <v>6612</v>
      </c>
      <c r="F145" s="1439">
        <v>2.1070000000000002</v>
      </c>
      <c r="G145" s="1439">
        <v>1.7000000000000001E-2</v>
      </c>
      <c r="H145" s="1439">
        <v>0.246</v>
      </c>
      <c r="I145" s="1440">
        <v>0</v>
      </c>
      <c r="J145" s="585"/>
      <c r="K145" s="585"/>
      <c r="L145" s="585"/>
      <c r="M145" s="585"/>
      <c r="N145" s="585"/>
      <c r="O145" s="585"/>
      <c r="P145" s="585"/>
      <c r="Q145" s="585"/>
      <c r="R145" s="585"/>
      <c r="S145" s="585"/>
      <c r="U145" s="299"/>
    </row>
    <row r="146" spans="2:21" ht="15" thickBot="1" x14ac:dyDescent="0.35">
      <c r="B146" s="2068"/>
      <c r="C146" s="2088"/>
      <c r="D146" s="1433" t="str">
        <f>IF('0 Úvod'!$M$10="English",Slovnik!D777,Slovnik!C777)</f>
        <v>mezistátní</v>
      </c>
      <c r="E146" s="1434">
        <v>23251.118999999999</v>
      </c>
      <c r="F146" s="1435">
        <v>7.41</v>
      </c>
      <c r="G146" s="1435">
        <v>5.8999999999999997E-2</v>
      </c>
      <c r="H146" s="1435">
        <v>0.86499999999999999</v>
      </c>
      <c r="I146" s="1436">
        <v>0</v>
      </c>
      <c r="J146" s="585"/>
      <c r="K146" s="585"/>
      <c r="L146" s="585"/>
      <c r="M146" s="585"/>
      <c r="N146" s="585"/>
      <c r="O146" s="585"/>
      <c r="P146" s="585"/>
      <c r="Q146" s="585"/>
      <c r="R146" s="585"/>
      <c r="S146" s="585"/>
      <c r="U146" s="299"/>
    </row>
    <row r="147" spans="2:21" ht="13.15" customHeight="1" thickBot="1" x14ac:dyDescent="0.35">
      <c r="B147" s="2068"/>
      <c r="C147" s="2143" t="str">
        <f>IF('0 Úvod'!$M$10="English",Slovnik!$D$347,Slovnik!$C$347)</f>
        <v>emisní faktor - NÁKLADNÍ DOPRAVA</v>
      </c>
      <c r="D147" s="2144"/>
      <c r="E147" s="2144"/>
      <c r="F147" s="2144"/>
      <c r="G147" s="2144"/>
      <c r="H147" s="2144"/>
      <c r="I147" s="2145"/>
      <c r="J147" s="585"/>
      <c r="K147" s="585"/>
      <c r="L147" s="585"/>
      <c r="M147" s="585"/>
      <c r="N147" s="585"/>
      <c r="O147" s="585"/>
      <c r="P147" s="585"/>
      <c r="Q147" s="585"/>
      <c r="R147" s="585"/>
      <c r="S147" s="585"/>
      <c r="U147" s="299"/>
    </row>
    <row r="148" spans="2:21" ht="13.15" customHeight="1" x14ac:dyDescent="0.3">
      <c r="B148" s="2068"/>
      <c r="C148" s="2082" t="str">
        <f>IF('0 Úvod'!$M$10="English",Slovnik!$D$339,Slovnik!$C$339)</f>
        <v>SILNIČNÍ DOPRAVA
[g/vozokm]</v>
      </c>
      <c r="D148" s="1437" t="str">
        <f>IF('0 Úvod'!$M$10="English",Slovnik!D348,Slovnik!C348)</f>
        <v>LNV</v>
      </c>
      <c r="E148" s="1438">
        <v>241</v>
      </c>
      <c r="F148" s="1439">
        <v>0.69399999999999995</v>
      </c>
      <c r="G148" s="1439">
        <v>2E-3</v>
      </c>
      <c r="H148" s="1439">
        <v>4.4999999999999998E-2</v>
      </c>
      <c r="I148" s="1440">
        <v>5.8999999999999997E-2</v>
      </c>
      <c r="J148" s="585"/>
      <c r="K148" s="585"/>
      <c r="L148" s="585"/>
      <c r="M148" s="585"/>
      <c r="N148" s="585"/>
      <c r="O148" s="585"/>
      <c r="P148" s="585"/>
      <c r="Q148" s="585"/>
      <c r="R148" s="585"/>
      <c r="S148" s="585"/>
      <c r="U148" s="299"/>
    </row>
    <row r="149" spans="2:21" ht="13.15" customHeight="1" thickBot="1" x14ac:dyDescent="0.35">
      <c r="B149" s="2068"/>
      <c r="C149" s="2088"/>
      <c r="D149" s="1433" t="str">
        <f>IF('0 Úvod'!$M$10="English",Slovnik!D349,Slovnik!C349)</f>
        <v>TNV</v>
      </c>
      <c r="E149" s="1434">
        <v>604</v>
      </c>
      <c r="F149" s="1435">
        <v>7.6260000000000003</v>
      </c>
      <c r="G149" s="1435">
        <v>2.7E-2</v>
      </c>
      <c r="H149" s="1435">
        <v>0.20200000000000001</v>
      </c>
      <c r="I149" s="1436">
        <v>0.111</v>
      </c>
      <c r="J149" s="585"/>
      <c r="K149" s="585"/>
      <c r="L149" s="585"/>
      <c r="M149" s="585"/>
      <c r="N149" s="585"/>
      <c r="O149" s="585"/>
      <c r="P149" s="585"/>
      <c r="Q149" s="585"/>
      <c r="R149" s="585"/>
      <c r="S149" s="585"/>
    </row>
    <row r="150" spans="2:21" ht="14.45" customHeight="1" x14ac:dyDescent="0.3">
      <c r="B150" s="2068"/>
      <c r="C150" s="2082" t="str">
        <f>IF('0 Úvod'!$M$10="English",Slovnik!$D$340,Slovnik!$C$340)</f>
        <v>ŽELEZNIČNÍ DOPRAVA
[g/vlkm]</v>
      </c>
      <c r="D150" s="1437" t="str">
        <f>IF('0 Úvod'!$M$10="English",Slovnik!D351,Slovnik!C351)</f>
        <v>dieslová trakce</v>
      </c>
      <c r="E150" s="1438">
        <v>11434</v>
      </c>
      <c r="F150" s="1439">
        <v>4.3529999999999998</v>
      </c>
      <c r="G150" s="1439">
        <v>3.5000000000000003E-2</v>
      </c>
      <c r="H150" s="1439">
        <v>6.9569999999999999</v>
      </c>
      <c r="I150" s="1440">
        <v>89.301000000000002</v>
      </c>
      <c r="J150" s="585"/>
      <c r="K150" s="585"/>
      <c r="L150" s="585"/>
      <c r="M150" s="585"/>
      <c r="N150" s="585"/>
      <c r="O150" s="585"/>
      <c r="P150" s="585"/>
      <c r="Q150" s="585"/>
      <c r="R150" s="585"/>
      <c r="S150" s="585"/>
    </row>
    <row r="151" spans="2:21" ht="13.15" customHeight="1" thickBot="1" x14ac:dyDescent="0.35">
      <c r="B151" s="2068"/>
      <c r="C151" s="2088"/>
      <c r="D151" s="1433" t="str">
        <f>IF('0 Úvod'!$M$10="English",Slovnik!D352,Slovnik!C352)</f>
        <v>elektrická trakce</v>
      </c>
      <c r="E151" s="1445">
        <v>7657.7219999999998</v>
      </c>
      <c r="F151" s="1446">
        <v>0.20399999999999999</v>
      </c>
      <c r="G151" s="1446">
        <v>2E-3</v>
      </c>
      <c r="H151" s="1446">
        <v>0.36599999999999999</v>
      </c>
      <c r="I151" s="1447">
        <v>4.7</v>
      </c>
      <c r="J151" s="585"/>
      <c r="K151" s="585"/>
      <c r="L151" s="585"/>
      <c r="M151" s="585"/>
      <c r="N151" s="585"/>
      <c r="O151" s="585"/>
      <c r="P151" s="585"/>
      <c r="Q151" s="585"/>
      <c r="R151" s="585"/>
      <c r="S151" s="585"/>
    </row>
    <row r="152" spans="2:21" ht="15" thickBot="1" x14ac:dyDescent="0.35">
      <c r="B152" s="2068"/>
      <c r="C152" s="2143" t="str">
        <f>IF('0 Úvod'!$M$10="English",Slovnik!$D$775,Slovnik!$C$775)</f>
        <v>LETECKÁ DOPRAVA [g/letkm]</v>
      </c>
      <c r="D152" s="2145"/>
      <c r="E152" s="1442">
        <v>32550</v>
      </c>
      <c r="F152" s="1443">
        <v>10.374000000000001</v>
      </c>
      <c r="G152" s="1443">
        <v>8.3000000000000004E-2</v>
      </c>
      <c r="H152" s="1443">
        <v>1.2110000000000001</v>
      </c>
      <c r="I152" s="1444">
        <v>0</v>
      </c>
      <c r="J152" s="585"/>
      <c r="K152" s="585"/>
      <c r="L152" s="585"/>
      <c r="M152" s="585"/>
      <c r="N152" s="585"/>
      <c r="O152" s="585"/>
      <c r="P152" s="585"/>
      <c r="Q152" s="585"/>
      <c r="R152" s="585"/>
      <c r="S152" s="585"/>
    </row>
    <row r="153" spans="2:21" ht="15" thickBot="1" x14ac:dyDescent="0.35">
      <c r="B153" s="2069"/>
      <c r="C153" s="2143" t="str">
        <f>IF('0 Úvod'!$M$10="English",Slovnik!$D$353,Slovnik!$C$353)</f>
        <v>VODNÍ DOPRAVA [g/vozokm]</v>
      </c>
      <c r="D153" s="2145"/>
      <c r="E153" s="1448">
        <v>23909.45</v>
      </c>
      <c r="F153" s="1449">
        <v>370.1</v>
      </c>
      <c r="G153" s="1449">
        <v>2.9460000000000002</v>
      </c>
      <c r="H153" s="1449">
        <v>10.7</v>
      </c>
      <c r="I153" s="1450">
        <v>0</v>
      </c>
      <c r="J153" s="585"/>
      <c r="K153" s="585"/>
      <c r="L153" s="585"/>
      <c r="M153" s="585"/>
      <c r="N153" s="585"/>
      <c r="O153" s="585"/>
      <c r="P153" s="585"/>
      <c r="Q153" s="585"/>
      <c r="R153" s="585"/>
      <c r="S153" s="585"/>
    </row>
    <row r="154" spans="2:21" ht="13.15" customHeight="1" x14ac:dyDescent="0.3">
      <c r="B154" s="1387"/>
      <c r="C154" s="1405" t="str">
        <f>IF('0 Úvod'!$M$10="English",Slovnik!$E$778,Slovnik!$E$777)</f>
        <v>Zdroj: EIB Project Carbon Footprint Methodologies, Methodologies for the Assessment of Project GHG Emissions and Emission Variations, European Investment Bank, ver.11.2 – 02/2022; Externí náklady dopravy v Evropě, CE Delft , aktualizace 11/2011; dopočet SUDOP</v>
      </c>
      <c r="D154" s="1240"/>
      <c r="E154" s="1240"/>
      <c r="F154" s="1240"/>
      <c r="G154" s="1240"/>
      <c r="H154" s="1386"/>
      <c r="I154" s="1386"/>
      <c r="J154" s="1386"/>
      <c r="K154" s="1386"/>
      <c r="L154" s="1386"/>
      <c r="M154" s="1386"/>
      <c r="N154" s="585"/>
      <c r="O154" s="585"/>
      <c r="P154" s="585"/>
      <c r="Q154" s="585"/>
      <c r="R154" s="585"/>
      <c r="S154" s="585"/>
    </row>
    <row r="155" spans="2:21" ht="13.15" customHeight="1" x14ac:dyDescent="0.3">
      <c r="B155" s="1387"/>
      <c r="C155" s="1451" t="str">
        <f>IF('0 Úvod'!$M$10="English",Slovnik!$E$776,Slovnik!$E$775)</f>
        <v>Pozn.: Pro podrobnější informace ke zdrojovým datům a práci s nimi viz Rezortní metodiku (aktuální dodatek) - poznámky pod tabulkami 8.60, resp. 8.61</v>
      </c>
      <c r="D155" s="1240"/>
      <c r="E155" s="1240"/>
      <c r="F155" s="1240"/>
      <c r="G155" s="1240"/>
      <c r="H155" s="1386"/>
      <c r="I155" s="1386"/>
      <c r="J155" s="1386"/>
      <c r="K155" s="1386"/>
      <c r="L155" s="1386"/>
      <c r="M155" s="1386"/>
      <c r="N155" s="585"/>
      <c r="O155" s="585"/>
      <c r="P155" s="585"/>
      <c r="Q155" s="585"/>
      <c r="R155" s="585"/>
      <c r="S155" s="585"/>
    </row>
    <row r="156" spans="2:21" ht="13.15" hidden="1" customHeight="1" x14ac:dyDescent="0.3">
      <c r="B156" s="1387"/>
      <c r="C156" s="1451"/>
      <c r="D156" s="1240"/>
      <c r="E156" s="1240"/>
      <c r="F156" s="1240"/>
      <c r="G156" s="1240"/>
      <c r="H156" s="1386"/>
      <c r="I156" s="1386"/>
      <c r="J156" s="1386"/>
      <c r="K156" s="1386"/>
      <c r="L156" s="1386"/>
      <c r="M156" s="1386"/>
      <c r="N156" s="585"/>
      <c r="O156" s="585"/>
      <c r="P156" s="585"/>
      <c r="Q156" s="585"/>
      <c r="R156" s="585"/>
      <c r="S156" s="585"/>
    </row>
    <row r="157" spans="2:21" ht="13.15" hidden="1" customHeight="1" thickBot="1" x14ac:dyDescent="0.35">
      <c r="B157" s="1387"/>
      <c r="C157" s="1451"/>
      <c r="D157" s="1240"/>
      <c r="E157" s="1240"/>
      <c r="F157" s="1240"/>
      <c r="G157" s="1240"/>
      <c r="H157" s="1386"/>
      <c r="I157" s="1386"/>
      <c r="J157" s="1386"/>
      <c r="K157" s="1386"/>
      <c r="L157" s="1386"/>
      <c r="M157" s="1386"/>
      <c r="N157" s="585"/>
      <c r="O157" s="585"/>
      <c r="P157" s="585"/>
      <c r="Q157" s="585"/>
      <c r="R157" s="585"/>
      <c r="S157" s="585"/>
    </row>
    <row r="158" spans="2:21" ht="46.5" hidden="1" customHeight="1" x14ac:dyDescent="0.3">
      <c r="B158" s="1452" t="s">
        <v>1487</v>
      </c>
      <c r="C158" s="1453" t="s">
        <v>1473</v>
      </c>
      <c r="D158" s="1454" t="s">
        <v>1468</v>
      </c>
      <c r="E158" s="1455" t="s">
        <v>1478</v>
      </c>
      <c r="F158" s="1456" t="s">
        <v>1479</v>
      </c>
      <c r="G158" s="1456" t="s">
        <v>1480</v>
      </c>
      <c r="H158" s="1456" t="s">
        <v>1481</v>
      </c>
      <c r="I158" s="1457" t="s">
        <v>1482</v>
      </c>
      <c r="J158" s="1386"/>
      <c r="K158" s="1386"/>
      <c r="L158" s="1386"/>
      <c r="M158" s="1386"/>
      <c r="N158" s="585"/>
      <c r="O158" s="585"/>
      <c r="P158" s="585"/>
      <c r="Q158" s="585"/>
      <c r="R158" s="585"/>
      <c r="S158" s="585"/>
    </row>
    <row r="159" spans="2:21" ht="13.15" hidden="1" customHeight="1" x14ac:dyDescent="0.3">
      <c r="B159" s="1458"/>
      <c r="C159" s="1459" t="s">
        <v>1466</v>
      </c>
      <c r="D159" s="1460"/>
      <c r="E159" s="1461">
        <f>E140</f>
        <v>862</v>
      </c>
      <c r="F159" s="1462">
        <f t="shared" ref="F159:I159" si="32">F140</f>
        <v>5.2610000000000001</v>
      </c>
      <c r="G159" s="1462">
        <f t="shared" si="32"/>
        <v>5.7000000000000002E-2</v>
      </c>
      <c r="H159" s="1462">
        <f t="shared" si="32"/>
        <v>0.108</v>
      </c>
      <c r="I159" s="1463">
        <f t="shared" si="32"/>
        <v>1.038</v>
      </c>
      <c r="J159" s="1386"/>
      <c r="K159" s="1386"/>
      <c r="L159" s="1386"/>
      <c r="M159" s="1386"/>
      <c r="N159" s="585"/>
      <c r="O159" s="585"/>
      <c r="P159" s="585"/>
      <c r="Q159" s="585"/>
      <c r="R159" s="585"/>
      <c r="S159" s="585"/>
    </row>
    <row r="160" spans="2:21" ht="13.15" hidden="1" customHeight="1" x14ac:dyDescent="0.3">
      <c r="B160" s="1458"/>
      <c r="C160" s="1459" t="s">
        <v>1467</v>
      </c>
      <c r="D160" s="1464">
        <v>1</v>
      </c>
      <c r="E160" s="1461">
        <f>$D160*E$164</f>
        <v>400</v>
      </c>
      <c r="F160" s="1462">
        <f t="shared" ref="F160:I162" si="33">$D160*F$164</f>
        <v>2.8333333333333335E-3</v>
      </c>
      <c r="G160" s="1462">
        <f t="shared" si="33"/>
        <v>0</v>
      </c>
      <c r="H160" s="1462">
        <f t="shared" si="33"/>
        <v>5.3333333333333332E-3</v>
      </c>
      <c r="I160" s="1463">
        <f t="shared" si="33"/>
        <v>3.1333333333333331E-2</v>
      </c>
      <c r="J160" s="1386"/>
      <c r="K160" s="1386"/>
      <c r="L160" s="1386"/>
      <c r="M160" s="1386"/>
      <c r="N160" s="585"/>
      <c r="O160" s="585"/>
      <c r="P160" s="585"/>
      <c r="Q160" s="585"/>
      <c r="R160" s="585"/>
      <c r="S160" s="585"/>
    </row>
    <row r="161" spans="2:19" ht="13.15" hidden="1" customHeight="1" x14ac:dyDescent="0.3">
      <c r="B161" s="1458"/>
      <c r="C161" s="1459" t="s">
        <v>1469</v>
      </c>
      <c r="D161" s="1465">
        <v>1</v>
      </c>
      <c r="E161" s="1461">
        <f t="shared" ref="E161:E162" si="34">$D161*E$164</f>
        <v>400</v>
      </c>
      <c r="F161" s="1462">
        <f t="shared" si="33"/>
        <v>2.8333333333333335E-3</v>
      </c>
      <c r="G161" s="1462">
        <f t="shared" si="33"/>
        <v>0</v>
      </c>
      <c r="H161" s="1462">
        <f t="shared" si="33"/>
        <v>5.3333333333333332E-3</v>
      </c>
      <c r="I161" s="1463">
        <f t="shared" si="33"/>
        <v>3.1333333333333331E-2</v>
      </c>
      <c r="J161" s="1386"/>
      <c r="K161" s="1386"/>
      <c r="L161" s="1386"/>
      <c r="M161" s="1386"/>
      <c r="N161" s="585"/>
      <c r="O161" s="585"/>
      <c r="P161" s="585"/>
      <c r="Q161" s="585"/>
      <c r="R161" s="585"/>
      <c r="S161" s="585"/>
    </row>
    <row r="162" spans="2:19" ht="13.15" hidden="1" customHeight="1" x14ac:dyDescent="0.3">
      <c r="B162" s="1458"/>
      <c r="C162" s="1459" t="s">
        <v>1470</v>
      </c>
      <c r="D162" s="1464">
        <v>1</v>
      </c>
      <c r="E162" s="1461">
        <f t="shared" si="34"/>
        <v>400</v>
      </c>
      <c r="F162" s="1462">
        <f t="shared" si="33"/>
        <v>2.8333333333333335E-3</v>
      </c>
      <c r="G162" s="1462">
        <f t="shared" si="33"/>
        <v>0</v>
      </c>
      <c r="H162" s="1462">
        <f t="shared" si="33"/>
        <v>5.3333333333333332E-3</v>
      </c>
      <c r="I162" s="1463">
        <f t="shared" si="33"/>
        <v>3.1333333333333331E-2</v>
      </c>
      <c r="J162" s="1386"/>
      <c r="K162" s="1386"/>
      <c r="L162" s="1386"/>
      <c r="M162" s="1386"/>
      <c r="N162" s="585"/>
      <c r="O162" s="585"/>
      <c r="P162" s="585"/>
      <c r="Q162" s="585"/>
      <c r="R162" s="585"/>
      <c r="S162" s="585"/>
    </row>
    <row r="163" spans="2:19" ht="13.15" hidden="1" customHeight="1" x14ac:dyDescent="0.3">
      <c r="B163" s="1458"/>
      <c r="C163" s="1459" t="s">
        <v>1471</v>
      </c>
      <c r="D163" s="1460"/>
      <c r="E163" s="1461">
        <f>E138</f>
        <v>240</v>
      </c>
      <c r="F163" s="1462">
        <f t="shared" ref="F163:I163" si="35">F138</f>
        <v>0.68300000000000005</v>
      </c>
      <c r="G163" s="1462">
        <f t="shared" si="35"/>
        <v>7.0000000000000001E-3</v>
      </c>
      <c r="H163" s="1462">
        <f t="shared" si="35"/>
        <v>3.9E-2</v>
      </c>
      <c r="I163" s="1463">
        <f t="shared" si="35"/>
        <v>6.8000000000000005E-2</v>
      </c>
      <c r="J163" s="1386"/>
      <c r="K163" s="1386"/>
      <c r="L163" s="1386"/>
      <c r="M163" s="1386"/>
      <c r="N163" s="585"/>
      <c r="O163" s="585"/>
      <c r="P163" s="585"/>
      <c r="Q163" s="585"/>
      <c r="R163" s="585"/>
      <c r="S163" s="585"/>
    </row>
    <row r="164" spans="2:19" ht="13.15" hidden="1" customHeight="1" thickBot="1" x14ac:dyDescent="0.35">
      <c r="B164" s="1466"/>
      <c r="C164" s="1467" t="s">
        <v>1472</v>
      </c>
      <c r="D164" s="1468"/>
      <c r="E164" s="1469">
        <v>400</v>
      </c>
      <c r="F164" s="1470">
        <f>F143/6</f>
        <v>2.8333333333333335E-3</v>
      </c>
      <c r="G164" s="1470">
        <f t="shared" ref="G164:I164" si="36">G143/6</f>
        <v>0</v>
      </c>
      <c r="H164" s="1470">
        <f t="shared" si="36"/>
        <v>5.3333333333333332E-3</v>
      </c>
      <c r="I164" s="1471">
        <f t="shared" si="36"/>
        <v>3.1333333333333331E-2</v>
      </c>
      <c r="J164" s="1386"/>
      <c r="K164" s="1386"/>
      <c r="L164" s="1386"/>
      <c r="M164" s="1386"/>
      <c r="N164" s="585"/>
      <c r="O164" s="585"/>
      <c r="P164" s="585"/>
      <c r="Q164" s="585"/>
      <c r="R164" s="585"/>
      <c r="S164" s="585"/>
    </row>
    <row r="165" spans="2:19" ht="13.15" hidden="1" customHeight="1" x14ac:dyDescent="0.3">
      <c r="B165" s="1387"/>
      <c r="C165" s="1451"/>
      <c r="D165" s="1240"/>
      <c r="E165" s="1240"/>
      <c r="F165" s="1240"/>
      <c r="G165" s="1240"/>
      <c r="H165" s="1386"/>
      <c r="I165" s="1386"/>
      <c r="J165" s="1386"/>
      <c r="K165" s="1386"/>
      <c r="L165" s="1386"/>
      <c r="M165" s="1386"/>
      <c r="N165" s="585"/>
      <c r="O165" s="585"/>
      <c r="P165" s="585"/>
      <c r="Q165" s="585"/>
      <c r="R165" s="585"/>
      <c r="S165" s="585"/>
    </row>
    <row r="166" spans="2:19" ht="13.15" hidden="1" customHeight="1" x14ac:dyDescent="0.3">
      <c r="B166" s="1387"/>
      <c r="C166" s="1451"/>
      <c r="D166" s="1240"/>
      <c r="E166" s="1240"/>
      <c r="F166" s="1240"/>
      <c r="G166" s="1240"/>
      <c r="H166" s="1386"/>
      <c r="I166" s="1386"/>
      <c r="J166" s="1386"/>
      <c r="K166" s="1386"/>
      <c r="L166" s="1386"/>
      <c r="M166" s="1386"/>
      <c r="N166" s="585"/>
      <c r="O166" s="585"/>
      <c r="P166" s="585"/>
      <c r="Q166" s="585"/>
      <c r="R166" s="585"/>
      <c r="S166" s="585"/>
    </row>
    <row r="167" spans="2:19" ht="13.15" hidden="1" customHeight="1" x14ac:dyDescent="0.3">
      <c r="B167" s="1387"/>
      <c r="C167" s="1451" t="s">
        <v>1477</v>
      </c>
      <c r="D167" s="1240"/>
      <c r="E167" s="1240"/>
      <c r="F167" s="1240"/>
      <c r="G167" s="1240"/>
      <c r="H167" s="1386"/>
      <c r="I167" s="1386"/>
      <c r="J167" s="1386"/>
      <c r="K167" s="1386"/>
      <c r="L167" s="1386"/>
      <c r="M167" s="1386"/>
      <c r="N167" s="585"/>
      <c r="O167" s="585"/>
      <c r="P167" s="585"/>
      <c r="Q167" s="585"/>
      <c r="R167" s="585"/>
      <c r="S167" s="585"/>
    </row>
    <row r="168" spans="2:19" ht="13.15" hidden="1" customHeight="1" x14ac:dyDescent="0.3">
      <c r="B168" s="1387"/>
      <c r="C168" s="1451" t="s">
        <v>1474</v>
      </c>
      <c r="D168" s="1240">
        <v>1</v>
      </c>
      <c r="E168" s="1240"/>
      <c r="F168" s="1240"/>
      <c r="G168" s="1240"/>
      <c r="H168" s="1386"/>
      <c r="I168" s="1386"/>
      <c r="J168" s="1386"/>
      <c r="K168" s="1386"/>
      <c r="L168" s="1386"/>
      <c r="M168" s="1386"/>
      <c r="N168" s="585"/>
      <c r="O168" s="585"/>
      <c r="P168" s="585"/>
      <c r="Q168" s="585"/>
      <c r="R168" s="585"/>
      <c r="S168" s="585"/>
    </row>
    <row r="169" spans="2:19" ht="13.15" hidden="1" customHeight="1" x14ac:dyDescent="0.3">
      <c r="B169" s="1387"/>
      <c r="C169" s="1451" t="s">
        <v>1475</v>
      </c>
      <c r="D169" s="1240">
        <v>2.2999999999999998</v>
      </c>
      <c r="E169" s="1240"/>
      <c r="F169" s="1240"/>
      <c r="G169" s="1240"/>
      <c r="H169" s="1386"/>
      <c r="I169" s="1386"/>
      <c r="J169" s="1386"/>
      <c r="K169" s="1386"/>
      <c r="L169" s="1386"/>
      <c r="M169" s="1386"/>
      <c r="N169" s="585"/>
      <c r="O169" s="585"/>
      <c r="P169" s="585"/>
      <c r="Q169" s="585"/>
      <c r="R169" s="585"/>
      <c r="S169" s="585"/>
    </row>
    <row r="170" spans="2:19" ht="13.15" hidden="1" customHeight="1" x14ac:dyDescent="0.3">
      <c r="B170" s="1387"/>
      <c r="C170" s="1451" t="s">
        <v>1476</v>
      </c>
      <c r="D170" s="1240">
        <v>3</v>
      </c>
      <c r="E170" s="1240"/>
      <c r="F170" s="1240"/>
      <c r="G170" s="1240"/>
      <c r="H170" s="1386"/>
      <c r="I170" s="1386"/>
      <c r="J170" s="1386"/>
      <c r="K170" s="1386"/>
      <c r="L170" s="1386"/>
      <c r="M170" s="1386"/>
      <c r="N170" s="585"/>
      <c r="O170" s="585"/>
      <c r="P170" s="585"/>
      <c r="Q170" s="585"/>
      <c r="R170" s="585"/>
      <c r="S170" s="585"/>
    </row>
    <row r="171" spans="2:19" ht="13.15" hidden="1" customHeight="1" x14ac:dyDescent="0.3">
      <c r="B171" s="1387"/>
      <c r="C171" s="1451"/>
      <c r="D171" s="1240"/>
      <c r="E171" s="1240"/>
      <c r="F171" s="1240"/>
      <c r="G171" s="1240"/>
      <c r="H171" s="1386"/>
      <c r="I171" s="1386"/>
      <c r="J171" s="1386"/>
      <c r="K171" s="1386"/>
      <c r="L171" s="1386"/>
      <c r="M171" s="1386"/>
      <c r="N171" s="585"/>
      <c r="O171" s="585"/>
      <c r="P171" s="585"/>
      <c r="Q171" s="585"/>
      <c r="R171" s="585"/>
      <c r="S171" s="585"/>
    </row>
    <row r="172" spans="2:19" ht="13.15" hidden="1" customHeight="1" x14ac:dyDescent="0.3">
      <c r="B172" s="1387"/>
      <c r="C172" s="1451"/>
      <c r="D172" s="1240"/>
      <c r="E172" s="1240"/>
      <c r="F172" s="1240"/>
      <c r="G172" s="1240"/>
      <c r="H172" s="1386"/>
      <c r="I172" s="1386"/>
      <c r="J172" s="1386"/>
      <c r="K172" s="1386"/>
      <c r="L172" s="1386"/>
      <c r="M172" s="1386"/>
      <c r="N172" s="585"/>
      <c r="O172" s="585"/>
      <c r="P172" s="585"/>
      <c r="Q172" s="585"/>
      <c r="R172" s="585"/>
      <c r="S172" s="585"/>
    </row>
    <row r="173" spans="2:19" ht="13.15" hidden="1" customHeight="1" x14ac:dyDescent="0.3">
      <c r="B173" s="1387"/>
      <c r="C173" s="1451"/>
      <c r="D173" s="1240"/>
      <c r="E173" s="1240"/>
      <c r="F173" s="1240"/>
      <c r="G173" s="1240"/>
      <c r="H173" s="1386"/>
      <c r="I173" s="1386"/>
      <c r="J173" s="1386"/>
      <c r="K173" s="1386"/>
      <c r="L173" s="1386"/>
      <c r="M173" s="1386"/>
      <c r="N173" s="585"/>
      <c r="O173" s="585"/>
      <c r="P173" s="585"/>
      <c r="Q173" s="585"/>
      <c r="R173" s="585"/>
      <c r="S173" s="585"/>
    </row>
    <row r="174" spans="2:19" ht="13.15" hidden="1" customHeight="1" x14ac:dyDescent="0.3">
      <c r="B174" s="1387"/>
      <c r="C174" s="1451"/>
      <c r="D174" s="1240"/>
      <c r="E174" s="1240"/>
      <c r="F174" s="1240"/>
      <c r="G174" s="1240"/>
      <c r="H174" s="1386"/>
      <c r="I174" s="1386"/>
      <c r="J174" s="1386"/>
      <c r="K174" s="1386"/>
      <c r="L174" s="1386"/>
      <c r="M174" s="1386"/>
      <c r="N174" s="585"/>
      <c r="O174" s="585"/>
      <c r="P174" s="585"/>
      <c r="Q174" s="585"/>
      <c r="R174" s="585"/>
      <c r="S174" s="585"/>
    </row>
    <row r="175" spans="2:19" ht="13.15" hidden="1" customHeight="1" x14ac:dyDescent="0.3">
      <c r="B175" s="1387"/>
      <c r="C175" s="1451"/>
      <c r="D175" s="1240"/>
      <c r="E175" s="1240"/>
      <c r="F175" s="1240"/>
      <c r="G175" s="1240"/>
      <c r="H175" s="1386"/>
      <c r="I175" s="1386"/>
      <c r="J175" s="1386"/>
      <c r="K175" s="1386"/>
      <c r="L175" s="1386"/>
      <c r="M175" s="1386"/>
      <c r="N175" s="585"/>
      <c r="O175" s="585"/>
      <c r="P175" s="585"/>
      <c r="Q175" s="585"/>
      <c r="R175" s="585"/>
      <c r="S175" s="585"/>
    </row>
    <row r="176" spans="2:19" ht="13.15" hidden="1" customHeight="1" x14ac:dyDescent="0.3">
      <c r="B176" s="1387"/>
      <c r="C176" s="1451"/>
      <c r="D176" s="1240"/>
      <c r="E176" s="1240"/>
      <c r="F176" s="1240"/>
      <c r="G176" s="1240"/>
      <c r="H176" s="1386"/>
      <c r="I176" s="1386"/>
      <c r="J176" s="1386"/>
      <c r="K176" s="1386"/>
      <c r="L176" s="1386"/>
      <c r="M176" s="1386"/>
      <c r="N176" s="585"/>
      <c r="O176" s="585"/>
      <c r="P176" s="585"/>
      <c r="Q176" s="585"/>
      <c r="R176" s="585"/>
      <c r="S176" s="585"/>
    </row>
    <row r="177" spans="1:29" ht="13.15" customHeight="1" thickBot="1" x14ac:dyDescent="0.35">
      <c r="B177" s="1387"/>
      <c r="C177" s="1451"/>
      <c r="D177" s="1240"/>
      <c r="E177" s="1240"/>
      <c r="F177" s="1240"/>
      <c r="G177" s="1240"/>
      <c r="H177" s="1386"/>
      <c r="I177" s="1386"/>
      <c r="J177" s="1386"/>
      <c r="K177" s="1386"/>
      <c r="L177" s="1386"/>
      <c r="M177" s="1386"/>
      <c r="N177" s="585"/>
      <c r="O177" s="585"/>
      <c r="P177" s="585"/>
      <c r="Q177" s="585"/>
      <c r="R177" s="585"/>
      <c r="S177" s="585"/>
    </row>
    <row r="178" spans="1:29" ht="13.15" customHeight="1" thickBot="1" x14ac:dyDescent="0.35">
      <c r="B178" s="1472" t="s">
        <v>1504</v>
      </c>
      <c r="C178" s="1473" t="s">
        <v>1496</v>
      </c>
      <c r="D178" s="1474" t="s">
        <v>1479</v>
      </c>
      <c r="E178" s="1474" t="s">
        <v>1480</v>
      </c>
      <c r="F178" s="1474" t="s">
        <v>1481</v>
      </c>
      <c r="G178" s="1474" t="s">
        <v>1482</v>
      </c>
      <c r="H178" s="1475">
        <f>D107</f>
        <v>2025</v>
      </c>
      <c r="I178" s="1386"/>
      <c r="J178" s="1386"/>
      <c r="K178" s="1386"/>
      <c r="L178" s="585"/>
      <c r="M178" s="585"/>
      <c r="N178" s="585"/>
      <c r="O178" s="585"/>
      <c r="P178" s="585"/>
      <c r="Q178" s="585"/>
      <c r="R178" s="585"/>
      <c r="S178" s="585"/>
    </row>
    <row r="179" spans="1:29" ht="13.15" customHeight="1" thickBot="1" x14ac:dyDescent="0.35">
      <c r="B179" s="1476"/>
      <c r="C179" s="1477"/>
      <c r="D179" s="1478" t="s">
        <v>1488</v>
      </c>
      <c r="E179" s="1478" t="s">
        <v>1488</v>
      </c>
      <c r="F179" s="1478" t="s">
        <v>1488</v>
      </c>
      <c r="G179" s="1478" t="s">
        <v>1488</v>
      </c>
      <c r="H179" s="1479" t="s">
        <v>1489</v>
      </c>
      <c r="I179" s="1386"/>
      <c r="J179" s="1386"/>
      <c r="K179" s="1386"/>
      <c r="L179" s="585"/>
      <c r="M179" s="585"/>
      <c r="N179" s="585"/>
      <c r="O179" s="585"/>
      <c r="P179" s="585"/>
      <c r="Q179" s="585"/>
      <c r="R179" s="585"/>
      <c r="S179" s="585"/>
    </row>
    <row r="180" spans="1:29" ht="13.15" customHeight="1" x14ac:dyDescent="0.3">
      <c r="B180" s="1476"/>
      <c r="C180" s="1480" t="s">
        <v>1466</v>
      </c>
      <c r="D180" s="1481">
        <f>F159</f>
        <v>5.2610000000000001</v>
      </c>
      <c r="E180" s="1481">
        <f t="shared" ref="E180:G185" si="37">G159</f>
        <v>5.7000000000000002E-2</v>
      </c>
      <c r="F180" s="1481">
        <f t="shared" si="37"/>
        <v>0.108</v>
      </c>
      <c r="G180" s="1481">
        <f t="shared" si="37"/>
        <v>1.038</v>
      </c>
      <c r="H180" s="1482">
        <f>SUMPRODUCT(D180:G180,$E$115:$H$115)/1000000</f>
        <v>10.131407939156405</v>
      </c>
      <c r="I180" s="1386"/>
      <c r="J180" s="1386"/>
      <c r="K180" s="1386"/>
      <c r="L180" s="585"/>
      <c r="M180" s="585"/>
      <c r="N180" s="585"/>
      <c r="O180" s="585"/>
      <c r="P180" s="585"/>
      <c r="Q180" s="585"/>
      <c r="R180" s="585"/>
      <c r="S180" s="585"/>
    </row>
    <row r="181" spans="1:29" ht="13.15" customHeight="1" x14ac:dyDescent="0.3">
      <c r="B181" s="1476"/>
      <c r="C181" s="1483" t="s">
        <v>1490</v>
      </c>
      <c r="D181" s="1462">
        <f t="shared" ref="D181:D185" si="38">F160</f>
        <v>2.8333333333333335E-3</v>
      </c>
      <c r="E181" s="1462">
        <f t="shared" si="37"/>
        <v>0</v>
      </c>
      <c r="F181" s="1462">
        <f t="shared" si="37"/>
        <v>5.3333333333333332E-3</v>
      </c>
      <c r="G181" s="1462">
        <f t="shared" si="37"/>
        <v>3.1333333333333331E-2</v>
      </c>
      <c r="H181" s="1484">
        <f t="shared" ref="H181:H185" si="39">SUMPRODUCT(D181:G181,$E$115:$H$115)/1000000</f>
        <v>0.2008099233478183</v>
      </c>
      <c r="I181" s="1386"/>
      <c r="J181" s="1386"/>
      <c r="K181" s="1386"/>
      <c r="L181" s="585"/>
      <c r="M181" s="585"/>
      <c r="N181" s="585"/>
      <c r="O181" s="585"/>
      <c r="P181" s="585"/>
      <c r="Q181" s="585"/>
      <c r="R181" s="585"/>
      <c r="S181" s="585"/>
    </row>
    <row r="182" spans="1:29" ht="13.15" customHeight="1" x14ac:dyDescent="0.3">
      <c r="B182" s="1476"/>
      <c r="C182" s="1483" t="s">
        <v>1491</v>
      </c>
      <c r="D182" s="1462">
        <f t="shared" si="38"/>
        <v>2.8333333333333335E-3</v>
      </c>
      <c r="E182" s="1462">
        <f t="shared" si="37"/>
        <v>0</v>
      </c>
      <c r="F182" s="1462">
        <f t="shared" si="37"/>
        <v>5.3333333333333332E-3</v>
      </c>
      <c r="G182" s="1462">
        <f t="shared" si="37"/>
        <v>3.1333333333333331E-2</v>
      </c>
      <c r="H182" s="1484">
        <f t="shared" si="39"/>
        <v>0.2008099233478183</v>
      </c>
      <c r="I182" s="1386"/>
      <c r="J182" s="1386"/>
      <c r="K182" s="1386"/>
      <c r="L182" s="585"/>
      <c r="M182" s="585"/>
      <c r="N182" s="585"/>
      <c r="O182" s="585"/>
      <c r="P182" s="585"/>
      <c r="Q182" s="585"/>
      <c r="R182" s="585"/>
      <c r="S182" s="585"/>
    </row>
    <row r="183" spans="1:29" ht="13.15" customHeight="1" x14ac:dyDescent="0.3">
      <c r="B183" s="1476"/>
      <c r="C183" s="1483" t="s">
        <v>1492</v>
      </c>
      <c r="D183" s="1462">
        <f t="shared" si="38"/>
        <v>2.8333333333333335E-3</v>
      </c>
      <c r="E183" s="1462">
        <f t="shared" si="37"/>
        <v>0</v>
      </c>
      <c r="F183" s="1462">
        <f t="shared" si="37"/>
        <v>5.3333333333333332E-3</v>
      </c>
      <c r="G183" s="1462">
        <f t="shared" si="37"/>
        <v>3.1333333333333331E-2</v>
      </c>
      <c r="H183" s="1484">
        <f t="shared" si="39"/>
        <v>0.2008099233478183</v>
      </c>
      <c r="I183" s="1386"/>
      <c r="J183" s="1386"/>
      <c r="K183" s="1386"/>
      <c r="L183" s="585"/>
      <c r="M183" s="585"/>
      <c r="N183" s="585"/>
      <c r="O183" s="585"/>
      <c r="P183" s="585"/>
      <c r="Q183" s="585"/>
      <c r="R183" s="585"/>
      <c r="S183" s="585"/>
    </row>
    <row r="184" spans="1:29" ht="13.15" customHeight="1" x14ac:dyDescent="0.3">
      <c r="B184" s="1476"/>
      <c r="C184" s="1483" t="s">
        <v>1471</v>
      </c>
      <c r="D184" s="1462">
        <f t="shared" si="38"/>
        <v>0.68300000000000005</v>
      </c>
      <c r="E184" s="1462">
        <f t="shared" si="37"/>
        <v>7.0000000000000001E-3</v>
      </c>
      <c r="F184" s="1462">
        <f t="shared" si="37"/>
        <v>3.9E-2</v>
      </c>
      <c r="G184" s="1462">
        <f t="shared" si="37"/>
        <v>6.8000000000000005E-2</v>
      </c>
      <c r="H184" s="1484">
        <f t="shared" si="39"/>
        <v>1.2956221731467614</v>
      </c>
      <c r="I184" s="1386"/>
      <c r="J184" s="1386"/>
      <c r="K184" s="1386"/>
      <c r="L184" s="585"/>
      <c r="M184" s="585"/>
      <c r="N184" s="585"/>
      <c r="O184" s="585"/>
      <c r="P184" s="585"/>
      <c r="Q184" s="585"/>
      <c r="R184" s="585"/>
      <c r="S184" s="585"/>
    </row>
    <row r="185" spans="1:29" ht="13.15" customHeight="1" thickBot="1" x14ac:dyDescent="0.35">
      <c r="B185" s="1485"/>
      <c r="C185" s="1486" t="s">
        <v>1472</v>
      </c>
      <c r="D185" s="1470">
        <f t="shared" si="38"/>
        <v>2.8333333333333335E-3</v>
      </c>
      <c r="E185" s="1470">
        <f t="shared" si="37"/>
        <v>0</v>
      </c>
      <c r="F185" s="1470">
        <f t="shared" si="37"/>
        <v>5.3333333333333332E-3</v>
      </c>
      <c r="G185" s="1470">
        <f t="shared" si="37"/>
        <v>3.1333333333333331E-2</v>
      </c>
      <c r="H185" s="1487">
        <f t="shared" si="39"/>
        <v>0.2008099233478183</v>
      </c>
      <c r="I185" s="1386"/>
      <c r="J185" s="1386"/>
      <c r="K185" s="1386"/>
      <c r="L185" s="585"/>
      <c r="M185" s="585"/>
      <c r="N185" s="585"/>
      <c r="O185" s="585"/>
      <c r="P185" s="585"/>
      <c r="Q185" s="585"/>
      <c r="R185" s="585"/>
      <c r="S185" s="585"/>
    </row>
    <row r="186" spans="1:29" ht="13.15" customHeight="1" x14ac:dyDescent="0.3">
      <c r="B186" s="1387"/>
      <c r="C186" s="1451" t="s">
        <v>1505</v>
      </c>
      <c r="D186" s="1240"/>
      <c r="E186" s="1240"/>
      <c r="F186" s="1240"/>
      <c r="G186" s="1240"/>
      <c r="H186" s="1386"/>
      <c r="I186" s="1386"/>
      <c r="J186" s="1386"/>
      <c r="K186" s="1386"/>
      <c r="L186" s="1386"/>
      <c r="M186" s="1386"/>
      <c r="N186" s="585"/>
      <c r="O186" s="585"/>
      <c r="P186" s="585"/>
      <c r="Q186" s="585"/>
      <c r="R186" s="585"/>
      <c r="S186" s="585"/>
    </row>
    <row r="187" spans="1:29" ht="15" thickBot="1" x14ac:dyDescent="0.35">
      <c r="A187" s="245"/>
      <c r="B187" s="1488"/>
      <c r="C187" s="585"/>
      <c r="D187" s="1165"/>
      <c r="E187" s="1165"/>
      <c r="F187" s="1165"/>
      <c r="G187" s="1165"/>
      <c r="H187" s="1165"/>
      <c r="I187" s="1165"/>
      <c r="J187" s="1165"/>
      <c r="K187" s="1165"/>
      <c r="L187" s="1165"/>
      <c r="M187" s="1165"/>
      <c r="N187" s="1165"/>
      <c r="O187" s="1165"/>
      <c r="P187" s="1165"/>
      <c r="Q187" s="1165"/>
      <c r="R187" s="1165"/>
      <c r="S187" s="1165"/>
      <c r="T187" s="245"/>
      <c r="U187" s="245"/>
      <c r="V187" s="245"/>
      <c r="W187" s="245"/>
      <c r="X187" s="245"/>
      <c r="Y187" s="245"/>
      <c r="Z187" s="245"/>
      <c r="AA187" s="245"/>
      <c r="AB187" s="245"/>
      <c r="AC187" s="245"/>
    </row>
    <row r="188" spans="1:29" ht="14.25" x14ac:dyDescent="0.3">
      <c r="A188" s="245"/>
      <c r="B188" s="1489" t="s">
        <v>1506</v>
      </c>
      <c r="C188" s="1292" t="str">
        <f>IF('0 Úvod'!$M$10="English",Slovnik!$D$387,Slovnik!$C$387)</f>
        <v>Změna měrných hodnot externalit</v>
      </c>
      <c r="D188" s="1293"/>
      <c r="E188" s="1996">
        <f>E42</f>
        <v>2026</v>
      </c>
      <c r="F188" s="1996">
        <f t="shared" ref="F188:S188" si="40">E188+1</f>
        <v>2027</v>
      </c>
      <c r="G188" s="1996">
        <f t="shared" si="40"/>
        <v>2028</v>
      </c>
      <c r="H188" s="1996">
        <f t="shared" si="40"/>
        <v>2029</v>
      </c>
      <c r="I188" s="1996">
        <f t="shared" si="40"/>
        <v>2030</v>
      </c>
      <c r="J188" s="1996">
        <f t="shared" si="40"/>
        <v>2031</v>
      </c>
      <c r="K188" s="1996">
        <f t="shared" si="40"/>
        <v>2032</v>
      </c>
      <c r="L188" s="1996">
        <f t="shared" si="40"/>
        <v>2033</v>
      </c>
      <c r="M188" s="1996">
        <f t="shared" si="40"/>
        <v>2034</v>
      </c>
      <c r="N188" s="1996">
        <f t="shared" si="40"/>
        <v>2035</v>
      </c>
      <c r="O188" s="1996">
        <f t="shared" si="40"/>
        <v>2036</v>
      </c>
      <c r="P188" s="1996">
        <f t="shared" si="40"/>
        <v>2037</v>
      </c>
      <c r="Q188" s="1996">
        <f t="shared" si="40"/>
        <v>2038</v>
      </c>
      <c r="R188" s="1996">
        <f t="shared" si="40"/>
        <v>2039</v>
      </c>
      <c r="S188" s="2022">
        <f t="shared" si="40"/>
        <v>2040</v>
      </c>
      <c r="T188" s="247"/>
      <c r="U188" s="247"/>
      <c r="V188" s="247"/>
      <c r="W188" s="247"/>
      <c r="X188" s="247"/>
      <c r="Y188" s="247"/>
      <c r="Z188" s="247"/>
      <c r="AA188" s="247"/>
      <c r="AB188" s="247"/>
      <c r="AC188" s="247"/>
    </row>
    <row r="189" spans="1:29" ht="15" thickBot="1" x14ac:dyDescent="0.35">
      <c r="A189" s="245"/>
      <c r="B189" s="1294" t="s">
        <v>4</v>
      </c>
      <c r="C189" s="1295"/>
      <c r="D189" s="1296" t="str">
        <f>IF('0 Úvod'!$M$10="English",Slovnik!$D$388,Slovnik!$C$388)</f>
        <v>Elasticita</v>
      </c>
      <c r="E189" s="1997"/>
      <c r="F189" s="1997"/>
      <c r="G189" s="1997"/>
      <c r="H189" s="1997"/>
      <c r="I189" s="1997"/>
      <c r="J189" s="1997"/>
      <c r="K189" s="1997"/>
      <c r="L189" s="1997"/>
      <c r="M189" s="1997"/>
      <c r="N189" s="1997"/>
      <c r="O189" s="1997"/>
      <c r="P189" s="1997"/>
      <c r="Q189" s="1997"/>
      <c r="R189" s="1997"/>
      <c r="S189" s="2023"/>
      <c r="T189" s="247"/>
      <c r="U189" s="247"/>
      <c r="V189" s="247"/>
      <c r="W189" s="247"/>
      <c r="X189" s="247"/>
      <c r="Y189" s="247"/>
      <c r="Z189" s="247"/>
      <c r="AA189" s="247"/>
      <c r="AB189" s="247"/>
      <c r="AC189" s="247"/>
    </row>
    <row r="190" spans="1:29" ht="14.25" x14ac:dyDescent="0.3">
      <c r="A190" s="245"/>
      <c r="B190" s="1490"/>
      <c r="C190" s="1298" t="str">
        <f>IF('0 Úvod'!$M$10="English",Slovnik!D389,Slovnik!C389)</f>
        <v>Hodnota růstu HDP na hlavu (resp. prognóza)</v>
      </c>
      <c r="D190" s="1491"/>
      <c r="E190" s="1492">
        <v>0</v>
      </c>
      <c r="F190" s="1493">
        <f>IF(HLOOKUP(F$188,'0 Úvod'!$D$56:$N$57,1,TRUE)=F$188,HLOOKUP(F$188,'0 Úvod'!$D$56:$N$57,2,TRUE),'0 Úvod'!$D$100)</f>
        <v>1.7100000000000001E-2</v>
      </c>
      <c r="G190" s="1493">
        <f>IF(HLOOKUP(G$188,'0 Úvod'!$D$56:$N$57,1,TRUE)=G$188,HLOOKUP(G$188,'0 Úvod'!$D$56:$N$57,2,TRUE),'0 Úvod'!$D$100)</f>
        <v>1.7100000000000001E-2</v>
      </c>
      <c r="H190" s="1493">
        <f>IF(HLOOKUP(H$188,'0 Úvod'!$D$56:$N$57,1,TRUE)=H$188,HLOOKUP(H$188,'0 Úvod'!$D$56:$N$57,2,TRUE),'0 Úvod'!$D$100)</f>
        <v>1.7100000000000001E-2</v>
      </c>
      <c r="I190" s="1493">
        <f>IF(HLOOKUP(I$188,'0 Úvod'!$D$56:$N$57,1,TRUE)=I$188,HLOOKUP(I$188,'0 Úvod'!$D$56:$N$57,2,TRUE),'0 Úvod'!$D$100)</f>
        <v>1.7100000000000001E-2</v>
      </c>
      <c r="J190" s="1493">
        <f>IF(HLOOKUP(J$188,'0 Úvod'!$D$56:$N$57,1,TRUE)=J$188,HLOOKUP(J$188,'0 Úvod'!$D$56:$N$57,2,TRUE),'0 Úvod'!$D$100)</f>
        <v>1.7100000000000001E-2</v>
      </c>
      <c r="K190" s="1493">
        <f>IF(HLOOKUP(K$188,'0 Úvod'!$D$56:$N$57,1,TRUE)=K$188,HLOOKUP(K$188,'0 Úvod'!$D$56:$N$57,2,TRUE),'0 Úvod'!$D$100)</f>
        <v>1.7100000000000001E-2</v>
      </c>
      <c r="L190" s="1493">
        <f>IF(HLOOKUP(L$188,'0 Úvod'!$D$56:$N$57,1,TRUE)=L$188,HLOOKUP(L$188,'0 Úvod'!$D$56:$N$57,2,TRUE),'0 Úvod'!$D$100)</f>
        <v>1.7100000000000001E-2</v>
      </c>
      <c r="M190" s="1493">
        <f>IF(HLOOKUP(M$188,'0 Úvod'!$D$56:$N$57,1,TRUE)=M$188,HLOOKUP(M$188,'0 Úvod'!$D$56:$N$57,2,TRUE),'0 Úvod'!$D$100)</f>
        <v>1.7100000000000001E-2</v>
      </c>
      <c r="N190" s="1493">
        <f>IF(HLOOKUP(N$188,'0 Úvod'!$D$56:$N$57,1,TRUE)=N$188,HLOOKUP(N$188,'0 Úvod'!$D$56:$N$57,2,TRUE),'0 Úvod'!$D$100)</f>
        <v>1.7100000000000001E-2</v>
      </c>
      <c r="O190" s="1493">
        <f>IF(HLOOKUP(O$188,'0 Úvod'!$D$56:$N$57,1,TRUE)=O$188,HLOOKUP(O$188,'0 Úvod'!$D$56:$N$57,2,TRUE),'0 Úvod'!$D$100)</f>
        <v>1.7100000000000001E-2</v>
      </c>
      <c r="P190" s="1493">
        <f>IF(HLOOKUP(P$188,'0 Úvod'!$D$56:$N$57,1,TRUE)=P$188,HLOOKUP(P$188,'0 Úvod'!$D$56:$N$57,2,TRUE),'0 Úvod'!$D$100)</f>
        <v>1.7100000000000001E-2</v>
      </c>
      <c r="Q190" s="1493">
        <f>IF(HLOOKUP(Q$188,'0 Úvod'!$D$56:$N$57,1,TRUE)=Q$188,HLOOKUP(Q$188,'0 Úvod'!$D$56:$N$57,2,TRUE),'0 Úvod'!$D$100)</f>
        <v>1.7100000000000001E-2</v>
      </c>
      <c r="R190" s="1493">
        <f>IF(HLOOKUP(R$188,'0 Úvod'!$D$56:$N$57,1,TRUE)=R$188,HLOOKUP(R$188,'0 Úvod'!$D$56:$N$57,2,TRUE),'0 Úvod'!$D$100)</f>
        <v>1.7100000000000001E-2</v>
      </c>
      <c r="S190" s="1494">
        <f>IF(HLOOKUP(S$188,'0 Úvod'!$D$56:$N$57,1,TRUE)=S$188,HLOOKUP(S$188,'0 Úvod'!$D$56:$N$57,2,TRUE),'0 Úvod'!$D$100)</f>
        <v>1.7100000000000001E-2</v>
      </c>
      <c r="T190" s="267"/>
      <c r="U190" s="267"/>
      <c r="V190" s="267"/>
      <c r="W190" s="267"/>
      <c r="X190" s="267"/>
      <c r="Y190" s="267"/>
      <c r="Z190" s="267"/>
      <c r="AA190" s="267"/>
      <c r="AB190" s="267"/>
      <c r="AC190" s="267"/>
    </row>
    <row r="191" spans="1:29" ht="15" thickBot="1" x14ac:dyDescent="0.35">
      <c r="A191" s="245"/>
      <c r="B191" s="1495"/>
      <c r="C191" s="1313" t="str">
        <f>IF('0 Úvod'!$M$10="English",Slovnik!D390,Slovnik!C390)</f>
        <v>Výsledný růstový koeficient externalit</v>
      </c>
      <c r="D191" s="1496">
        <v>0.7</v>
      </c>
      <c r="E191" s="1497">
        <v>1</v>
      </c>
      <c r="F191" s="1498">
        <f>E191*(1+F190*$D$191)</f>
        <v>1.01197</v>
      </c>
      <c r="G191" s="1498">
        <f t="shared" ref="G191:S191" si="41">F191*(1+G190*$D$191)</f>
        <v>1.0240832809</v>
      </c>
      <c r="H191" s="1498">
        <f t="shared" si="41"/>
        <v>1.0363415577723731</v>
      </c>
      <c r="I191" s="1498">
        <f t="shared" si="41"/>
        <v>1.0487465662189084</v>
      </c>
      <c r="J191" s="1498">
        <f t="shared" si="41"/>
        <v>1.0613000626165487</v>
      </c>
      <c r="K191" s="1498">
        <f t="shared" si="41"/>
        <v>1.0740038243660688</v>
      </c>
      <c r="L191" s="1498">
        <f t="shared" si="41"/>
        <v>1.0868596501437306</v>
      </c>
      <c r="M191" s="1498">
        <f t="shared" si="41"/>
        <v>1.099869360155951</v>
      </c>
      <c r="N191" s="1498">
        <f t="shared" si="41"/>
        <v>1.1130347963970177</v>
      </c>
      <c r="O191" s="1498">
        <f t="shared" si="41"/>
        <v>1.1263578229098901</v>
      </c>
      <c r="P191" s="1498">
        <f t="shared" si="41"/>
        <v>1.1398403260501215</v>
      </c>
      <c r="Q191" s="1498">
        <f t="shared" si="41"/>
        <v>1.1534842147529416</v>
      </c>
      <c r="R191" s="1498">
        <f t="shared" si="41"/>
        <v>1.1672914208035343</v>
      </c>
      <c r="S191" s="1499">
        <f t="shared" si="41"/>
        <v>1.1812638991105526</v>
      </c>
      <c r="T191" s="281"/>
      <c r="U191" s="281"/>
      <c r="V191" s="281"/>
      <c r="W191" s="281"/>
      <c r="X191" s="281"/>
      <c r="Y191" s="281"/>
      <c r="Z191" s="281"/>
      <c r="AA191" s="281"/>
      <c r="AB191" s="281"/>
      <c r="AC191" s="281"/>
    </row>
    <row r="192" spans="1:29" ht="14.25" thickBot="1" x14ac:dyDescent="0.35">
      <c r="A192" s="245"/>
      <c r="B192" s="1349"/>
      <c r="C192" s="1165"/>
      <c r="D192" s="1167"/>
      <c r="E192" s="1167"/>
      <c r="F192" s="1167"/>
      <c r="G192" s="1167"/>
      <c r="H192" s="1167"/>
      <c r="I192" s="1167"/>
      <c r="J192" s="1167"/>
      <c r="K192" s="1167"/>
      <c r="L192" s="1167"/>
      <c r="M192" s="1167"/>
      <c r="N192" s="1167"/>
      <c r="O192" s="1167"/>
      <c r="P192" s="1167"/>
      <c r="Q192" s="1167"/>
      <c r="R192" s="1167"/>
      <c r="S192" s="1167"/>
      <c r="T192" s="236"/>
      <c r="U192" s="236"/>
      <c r="V192" s="236"/>
      <c r="W192" s="236"/>
      <c r="X192" s="236"/>
      <c r="Y192" s="236"/>
      <c r="Z192" s="236"/>
      <c r="AA192" s="236"/>
      <c r="AB192" s="236"/>
      <c r="AC192" s="236"/>
    </row>
    <row r="193" spans="1:29" ht="14.25" x14ac:dyDescent="0.3">
      <c r="A193" s="245"/>
      <c r="B193" s="1489" t="str">
        <f>B188</f>
        <v>10.10.</v>
      </c>
      <c r="C193" s="1320" t="str">
        <f>C188</f>
        <v>Změna měrných hodnot externalit</v>
      </c>
      <c r="D193" s="1321"/>
      <c r="E193" s="2024">
        <f>S188+1</f>
        <v>2041</v>
      </c>
      <c r="F193" s="1996">
        <f t="shared" ref="F193:S193" si="42">E193+1</f>
        <v>2042</v>
      </c>
      <c r="G193" s="1996">
        <f t="shared" si="42"/>
        <v>2043</v>
      </c>
      <c r="H193" s="1996">
        <f t="shared" si="42"/>
        <v>2044</v>
      </c>
      <c r="I193" s="1996">
        <f t="shared" si="42"/>
        <v>2045</v>
      </c>
      <c r="J193" s="1996">
        <f t="shared" si="42"/>
        <v>2046</v>
      </c>
      <c r="K193" s="1996">
        <f t="shared" si="42"/>
        <v>2047</v>
      </c>
      <c r="L193" s="1996">
        <f t="shared" si="42"/>
        <v>2048</v>
      </c>
      <c r="M193" s="1996">
        <f t="shared" si="42"/>
        <v>2049</v>
      </c>
      <c r="N193" s="1996">
        <f t="shared" si="42"/>
        <v>2050</v>
      </c>
      <c r="O193" s="1996">
        <f t="shared" si="42"/>
        <v>2051</v>
      </c>
      <c r="P193" s="1996">
        <f t="shared" si="42"/>
        <v>2052</v>
      </c>
      <c r="Q193" s="1996">
        <f t="shared" si="42"/>
        <v>2053</v>
      </c>
      <c r="R193" s="1996">
        <f t="shared" si="42"/>
        <v>2054</v>
      </c>
      <c r="S193" s="2022">
        <f t="shared" si="42"/>
        <v>2055</v>
      </c>
      <c r="T193" s="247"/>
      <c r="U193" s="247"/>
      <c r="V193" s="247"/>
      <c r="W193" s="247"/>
      <c r="X193" s="247"/>
      <c r="Y193" s="247"/>
      <c r="Z193" s="247"/>
      <c r="AA193" s="247"/>
      <c r="AB193" s="247"/>
      <c r="AC193" s="247"/>
    </row>
    <row r="194" spans="1:29" ht="15" thickBot="1" x14ac:dyDescent="0.35">
      <c r="A194" s="245"/>
      <c r="B194" s="1294" t="s">
        <v>5</v>
      </c>
      <c r="C194" s="1295"/>
      <c r="D194" s="1296" t="str">
        <f>D189</f>
        <v>Elasticita</v>
      </c>
      <c r="E194" s="2025"/>
      <c r="F194" s="1997"/>
      <c r="G194" s="1997"/>
      <c r="H194" s="1997"/>
      <c r="I194" s="1997"/>
      <c r="J194" s="1997"/>
      <c r="K194" s="1997"/>
      <c r="L194" s="1997"/>
      <c r="M194" s="1997"/>
      <c r="N194" s="1997"/>
      <c r="O194" s="1997"/>
      <c r="P194" s="1997"/>
      <c r="Q194" s="1997"/>
      <c r="R194" s="1997"/>
      <c r="S194" s="2023"/>
      <c r="T194" s="247"/>
      <c r="U194" s="247"/>
      <c r="V194" s="247"/>
      <c r="W194" s="247"/>
      <c r="X194" s="247"/>
      <c r="Y194" s="247"/>
      <c r="Z194" s="247"/>
      <c r="AA194" s="247"/>
      <c r="AB194" s="247"/>
      <c r="AC194" s="247"/>
    </row>
    <row r="195" spans="1:29" ht="14.25" x14ac:dyDescent="0.3">
      <c r="A195" s="245"/>
      <c r="B195" s="1490"/>
      <c r="C195" s="1298" t="str">
        <f>C190</f>
        <v>Hodnota růstu HDP na hlavu (resp. prognóza)</v>
      </c>
      <c r="D195" s="1500"/>
      <c r="E195" s="1493">
        <f>IF(HLOOKUP(E$193,'0 Úvod'!$D$56:$N$57,1,TRUE)=E$193,HLOOKUP(E$193,'0 Úvod'!$D$56:$N$57,2,TRUE),'0 Úvod'!$D$100)</f>
        <v>1.7100000000000001E-2</v>
      </c>
      <c r="F195" s="1493">
        <f>IF(HLOOKUP(F$193,'0 Úvod'!$D$56:$N$57,1,TRUE)=F$193,HLOOKUP(F$193,'0 Úvod'!$D$56:$N$57,2,TRUE),'0 Úvod'!$D$100)</f>
        <v>1.7100000000000001E-2</v>
      </c>
      <c r="G195" s="1493">
        <f>IF(HLOOKUP(G$193,'0 Úvod'!$D$56:$N$57,1,TRUE)=G$193,HLOOKUP(G$193,'0 Úvod'!$D$56:$N$57,2,TRUE),'0 Úvod'!$D$100)</f>
        <v>1.7100000000000001E-2</v>
      </c>
      <c r="H195" s="1493">
        <f>IF(HLOOKUP(H$193,'0 Úvod'!$D$56:$N$57,1,TRUE)=H$193,HLOOKUP(H$193,'0 Úvod'!$D$56:$N$57,2,TRUE),'0 Úvod'!$D$100)</f>
        <v>1.7100000000000001E-2</v>
      </c>
      <c r="I195" s="1493">
        <f>IF(HLOOKUP(I$193,'0 Úvod'!$D$56:$N$57,1,TRUE)=I$193,HLOOKUP(I$193,'0 Úvod'!$D$56:$N$57,2,TRUE),'0 Úvod'!$D$100)</f>
        <v>1.7100000000000001E-2</v>
      </c>
      <c r="J195" s="1493">
        <f>IF(HLOOKUP(J$193,'0 Úvod'!$D$56:$N$57,1,TRUE)=J$193,HLOOKUP(J$193,'0 Úvod'!$D$56:$N$57,2,TRUE),'0 Úvod'!$D$100)</f>
        <v>1.7100000000000001E-2</v>
      </c>
      <c r="K195" s="1493">
        <f>IF(HLOOKUP(K$193,'0 Úvod'!$D$56:$N$57,1,TRUE)=K$193,HLOOKUP(K$193,'0 Úvod'!$D$56:$N$57,2,TRUE),'0 Úvod'!$D$100)</f>
        <v>1.7100000000000001E-2</v>
      </c>
      <c r="L195" s="1493">
        <f>IF(HLOOKUP(L$193,'0 Úvod'!$D$56:$N$57,1,TRUE)=L$193,HLOOKUP(L$193,'0 Úvod'!$D$56:$N$57,2,TRUE),'0 Úvod'!$D$100)</f>
        <v>1.7100000000000001E-2</v>
      </c>
      <c r="M195" s="1493">
        <f>IF(HLOOKUP(M$193,'0 Úvod'!$D$56:$N$57,1,TRUE)=M$193,HLOOKUP(M$193,'0 Úvod'!$D$56:$N$57,2,TRUE),'0 Úvod'!$D$100)</f>
        <v>1.7100000000000001E-2</v>
      </c>
      <c r="N195" s="1493">
        <f>IF(HLOOKUP(N$193,'0 Úvod'!$D$56:$N$57,1,TRUE)=N$193,HLOOKUP(N$193,'0 Úvod'!$D$56:$N$57,2,TRUE),'0 Úvod'!$D$100)</f>
        <v>1.7100000000000001E-2</v>
      </c>
      <c r="O195" s="1493">
        <f>IF(HLOOKUP(O$193,'0 Úvod'!$D$56:$N$57,1,TRUE)=O$193,HLOOKUP(O$193,'0 Úvod'!$D$56:$N$57,2,TRUE),'0 Úvod'!$D$100)</f>
        <v>1.7100000000000001E-2</v>
      </c>
      <c r="P195" s="1493">
        <f>IF(HLOOKUP(P$193,'0 Úvod'!$D$56:$N$57,1,TRUE)=P$193,HLOOKUP(P$193,'0 Úvod'!$D$56:$N$57,2,TRUE),'0 Úvod'!$D$100)</f>
        <v>1.7100000000000001E-2</v>
      </c>
      <c r="Q195" s="1493">
        <f>IF(HLOOKUP(Q$193,'0 Úvod'!$D$56:$N$57,1,TRUE)=Q$193,HLOOKUP(Q$193,'0 Úvod'!$D$56:$N$57,2,TRUE),'0 Úvod'!$D$100)</f>
        <v>1.7100000000000001E-2</v>
      </c>
      <c r="R195" s="1493">
        <f>IF(HLOOKUP(R$193,'0 Úvod'!$D$56:$N$57,1,TRUE)=R$193,HLOOKUP(R$193,'0 Úvod'!$D$56:$N$57,2,TRUE),'0 Úvod'!$D$100)</f>
        <v>1.7100000000000001E-2</v>
      </c>
      <c r="S195" s="1494">
        <f>IF(HLOOKUP(S$193,'0 Úvod'!$D$56:$N$57,1,TRUE)=S$193,HLOOKUP(S$193,'0 Úvod'!$D$56:$N$57,2,TRUE),'0 Úvod'!$D$100)</f>
        <v>1.7100000000000001E-2</v>
      </c>
      <c r="T195" s="267"/>
      <c r="U195" s="267"/>
      <c r="V195" s="267"/>
      <c r="W195" s="267"/>
      <c r="X195" s="267"/>
      <c r="Y195" s="267"/>
      <c r="Z195" s="267"/>
      <c r="AA195" s="267"/>
      <c r="AB195" s="267"/>
      <c r="AC195" s="267"/>
    </row>
    <row r="196" spans="1:29" ht="15" thickBot="1" x14ac:dyDescent="0.35">
      <c r="A196" s="245"/>
      <c r="B196" s="1501"/>
      <c r="C196" s="1313" t="str">
        <f>C191</f>
        <v>Výsledný růstový koeficient externalit</v>
      </c>
      <c r="D196" s="1502"/>
      <c r="E196" s="1503">
        <f>S191*(1+E195*$D$191)</f>
        <v>1.1954036279829059</v>
      </c>
      <c r="F196" s="1503">
        <f>E196*(1+F195*$D$191)</f>
        <v>1.2097126094098614</v>
      </c>
      <c r="G196" s="1503">
        <f t="shared" ref="G196:S196" si="43">F196*(1+G195*$D$191)</f>
        <v>1.2241928693444974</v>
      </c>
      <c r="H196" s="1503">
        <f t="shared" si="43"/>
        <v>1.2388464579905512</v>
      </c>
      <c r="I196" s="1503">
        <f t="shared" si="43"/>
        <v>1.2536754500926981</v>
      </c>
      <c r="J196" s="1503">
        <f t="shared" si="43"/>
        <v>1.2686819452303078</v>
      </c>
      <c r="K196" s="1503">
        <f t="shared" si="43"/>
        <v>1.2838680681147145</v>
      </c>
      <c r="L196" s="1503">
        <f t="shared" si="43"/>
        <v>1.2992359688900477</v>
      </c>
      <c r="M196" s="1503">
        <f t="shared" si="43"/>
        <v>1.3147878234376615</v>
      </c>
      <c r="N196" s="1503">
        <f t="shared" si="43"/>
        <v>1.3305258336842103</v>
      </c>
      <c r="O196" s="1503">
        <f t="shared" si="43"/>
        <v>1.3464522279134103</v>
      </c>
      <c r="P196" s="1503">
        <f t="shared" si="43"/>
        <v>1.3625692610815339</v>
      </c>
      <c r="Q196" s="1503">
        <f t="shared" si="43"/>
        <v>1.3788792151366798</v>
      </c>
      <c r="R196" s="1503">
        <f t="shared" si="43"/>
        <v>1.395384399341866</v>
      </c>
      <c r="S196" s="1504">
        <f t="shared" si="43"/>
        <v>1.4120871506019881</v>
      </c>
      <c r="T196" s="268"/>
      <c r="U196" s="268"/>
      <c r="V196" s="268"/>
      <c r="W196" s="268"/>
      <c r="X196" s="268"/>
      <c r="Y196" s="268"/>
      <c r="Z196" s="268"/>
      <c r="AA196" s="268"/>
      <c r="AB196" s="268"/>
      <c r="AC196" s="268"/>
    </row>
    <row r="197" spans="1:29" ht="14.25" x14ac:dyDescent="0.3">
      <c r="A197" s="245"/>
      <c r="B197" s="1488"/>
      <c r="C197" s="585"/>
      <c r="D197" s="1165"/>
      <c r="E197" s="1165"/>
      <c r="F197" s="1165"/>
      <c r="G197" s="1165"/>
      <c r="H197" s="1165"/>
      <c r="I197" s="1165"/>
      <c r="J197" s="1165"/>
      <c r="K197" s="1165"/>
      <c r="L197" s="1165"/>
      <c r="M197" s="1165"/>
      <c r="N197" s="1165"/>
      <c r="O197" s="1165"/>
      <c r="P197" s="1165"/>
      <c r="Q197" s="1165"/>
      <c r="R197" s="1165"/>
      <c r="S197" s="1165"/>
    </row>
    <row r="198" spans="1:29" ht="15" thickBot="1" x14ac:dyDescent="0.35">
      <c r="A198" s="245"/>
      <c r="B198" s="1488"/>
      <c r="C198" s="585"/>
      <c r="D198" s="1165"/>
      <c r="E198" s="1165"/>
      <c r="F198" s="1165"/>
      <c r="G198" s="1165"/>
      <c r="H198" s="1165"/>
      <c r="I198" s="1165"/>
      <c r="J198" s="1165"/>
      <c r="K198" s="1165"/>
      <c r="L198" s="1165"/>
      <c r="M198" s="1165"/>
      <c r="N198" s="1165"/>
      <c r="O198" s="1165"/>
      <c r="P198" s="1165"/>
      <c r="Q198" s="1165"/>
      <c r="R198" s="1165"/>
      <c r="S198" s="1165"/>
    </row>
    <row r="199" spans="1:29" ht="14.25" customHeight="1" x14ac:dyDescent="0.3">
      <c r="B199" s="2001" t="str">
        <f>IF('0 Úvod'!$M$10="English",Slovnik!$D$391,Slovnik!$C$391)</f>
        <v>Komentáře</v>
      </c>
      <c r="C199" s="2002"/>
      <c r="D199" s="2002"/>
      <c r="E199" s="2002"/>
      <c r="F199" s="2002"/>
      <c r="G199" s="2002"/>
      <c r="H199" s="2002"/>
      <c r="I199" s="2002"/>
      <c r="J199" s="2002"/>
      <c r="K199" s="2002"/>
      <c r="L199" s="2002"/>
      <c r="M199" s="2002"/>
      <c r="N199" s="2002"/>
      <c r="O199" s="2002"/>
      <c r="P199" s="2002"/>
      <c r="Q199" s="2002"/>
      <c r="R199" s="2002"/>
      <c r="S199" s="2003"/>
    </row>
    <row r="200" spans="1:29" ht="15" customHeight="1" thickBot="1" x14ac:dyDescent="0.35">
      <c r="B200" s="2004"/>
      <c r="C200" s="2005"/>
      <c r="D200" s="2005"/>
      <c r="E200" s="2005"/>
      <c r="F200" s="2005"/>
      <c r="G200" s="2005"/>
      <c r="H200" s="2005"/>
      <c r="I200" s="2005"/>
      <c r="J200" s="2005"/>
      <c r="K200" s="2005"/>
      <c r="L200" s="2005"/>
      <c r="M200" s="2005"/>
      <c r="N200" s="2005"/>
      <c r="O200" s="2005"/>
      <c r="P200" s="2005"/>
      <c r="Q200" s="2005"/>
      <c r="R200" s="2005"/>
      <c r="S200" s="2006"/>
    </row>
    <row r="201" spans="1:29" ht="15" thickBot="1" x14ac:dyDescent="0.35">
      <c r="B201" s="633" t="s">
        <v>1564</v>
      </c>
      <c r="C201" s="1505"/>
      <c r="D201" s="1506"/>
      <c r="E201" s="1506"/>
      <c r="F201" s="1506"/>
      <c r="G201" s="1507"/>
      <c r="H201" s="1506"/>
      <c r="I201" s="1506"/>
      <c r="J201" s="1506"/>
      <c r="K201" s="1506"/>
      <c r="L201" s="1506"/>
      <c r="M201" s="1506"/>
      <c r="N201" s="1506"/>
      <c r="O201" s="1506"/>
      <c r="P201" s="1506"/>
      <c r="Q201" s="1508"/>
      <c r="R201" s="1508"/>
      <c r="S201" s="1509"/>
    </row>
    <row r="202" spans="1:29" ht="14.25" x14ac:dyDescent="0.3">
      <c r="B202" s="583"/>
      <c r="C202" s="584"/>
      <c r="D202" s="584"/>
      <c r="E202" s="584"/>
      <c r="F202" s="584"/>
      <c r="G202" s="584"/>
      <c r="H202" s="584"/>
      <c r="I202" s="584"/>
      <c r="J202" s="584"/>
      <c r="K202" s="584"/>
      <c r="L202" s="584"/>
      <c r="M202" s="584"/>
      <c r="N202" s="584"/>
      <c r="O202" s="584"/>
      <c r="P202" s="584"/>
      <c r="Q202" s="585"/>
      <c r="R202" s="585"/>
      <c r="S202" s="585"/>
    </row>
    <row r="203" spans="1:29" ht="14.25" x14ac:dyDescent="0.3">
      <c r="B203" s="583"/>
      <c r="C203" s="584"/>
      <c r="D203" s="584"/>
      <c r="E203" s="584"/>
      <c r="F203" s="584"/>
      <c r="G203" s="584"/>
      <c r="H203" s="584"/>
      <c r="I203" s="584"/>
      <c r="J203" s="584"/>
      <c r="K203" s="584"/>
      <c r="L203" s="584"/>
      <c r="M203" s="584"/>
      <c r="N203" s="584"/>
      <c r="O203" s="584"/>
      <c r="P203" s="584"/>
      <c r="Q203" s="585"/>
      <c r="R203" s="585"/>
      <c r="S203" s="585"/>
    </row>
    <row r="204" spans="1:29" ht="14.25" x14ac:dyDescent="0.3">
      <c r="B204" s="583"/>
      <c r="C204" s="584"/>
      <c r="D204" s="584"/>
      <c r="E204" s="584"/>
      <c r="F204" s="584"/>
      <c r="G204" s="584"/>
      <c r="H204" s="584"/>
      <c r="I204" s="584"/>
      <c r="J204" s="584"/>
      <c r="K204" s="584"/>
      <c r="L204" s="584"/>
      <c r="M204" s="584"/>
      <c r="N204" s="584"/>
      <c r="O204" s="584"/>
      <c r="P204" s="584"/>
      <c r="Q204" s="585"/>
      <c r="R204" s="585"/>
      <c r="S204" s="585"/>
    </row>
    <row r="205" spans="1:29" ht="14.25" x14ac:dyDescent="0.3">
      <c r="B205" s="583"/>
      <c r="C205" s="584"/>
      <c r="D205" s="584"/>
      <c r="E205" s="584"/>
      <c r="F205" s="584"/>
      <c r="G205" s="584"/>
      <c r="H205" s="584"/>
      <c r="I205" s="584"/>
      <c r="J205" s="584"/>
      <c r="K205" s="584"/>
      <c r="L205" s="584"/>
      <c r="M205" s="584"/>
      <c r="N205" s="584"/>
      <c r="O205" s="584"/>
      <c r="P205" s="584"/>
      <c r="Q205" s="585"/>
      <c r="R205" s="585"/>
      <c r="S205" s="585"/>
    </row>
    <row r="206" spans="1:29" ht="14.25" hidden="1" x14ac:dyDescent="0.3">
      <c r="B206" s="583"/>
      <c r="C206" s="584"/>
      <c r="D206" s="584"/>
      <c r="E206" s="584"/>
      <c r="F206" s="584"/>
      <c r="G206" s="584"/>
      <c r="H206" s="584"/>
      <c r="I206" s="584"/>
      <c r="J206" s="584"/>
      <c r="K206" s="584"/>
      <c r="L206" s="584"/>
      <c r="M206" s="584"/>
      <c r="N206" s="584"/>
      <c r="O206" s="584"/>
      <c r="P206" s="584"/>
      <c r="Q206" s="585"/>
      <c r="R206" s="585"/>
      <c r="S206" s="585"/>
    </row>
    <row r="207" spans="1:29" ht="15" hidden="1" thickBot="1" x14ac:dyDescent="0.35">
      <c r="B207" s="583" t="s">
        <v>1456</v>
      </c>
      <c r="C207" s="584"/>
      <c r="D207" s="584"/>
      <c r="E207" s="584"/>
      <c r="F207" s="584"/>
      <c r="G207" s="584"/>
      <c r="H207" s="584"/>
      <c r="I207" s="584"/>
      <c r="J207" s="584"/>
      <c r="K207" s="584"/>
      <c r="L207" s="584"/>
      <c r="M207" s="584"/>
      <c r="N207" s="584"/>
      <c r="O207" s="584"/>
      <c r="P207" s="584"/>
      <c r="Q207" s="585"/>
      <c r="R207" s="585"/>
      <c r="S207" s="585"/>
    </row>
    <row r="208" spans="1:29" ht="15" hidden="1" thickBot="1" x14ac:dyDescent="0.35">
      <c r="B208" s="486"/>
      <c r="C208" s="487"/>
      <c r="D208" s="487"/>
      <c r="E208" s="487"/>
      <c r="F208" s="487"/>
      <c r="G208" s="487"/>
      <c r="H208" s="487"/>
      <c r="I208" s="487"/>
      <c r="J208" s="487"/>
      <c r="K208" s="487"/>
      <c r="L208" s="487"/>
      <c r="M208" s="487"/>
      <c r="N208" s="487"/>
      <c r="O208" s="487"/>
      <c r="P208" s="487"/>
      <c r="Q208" s="297"/>
      <c r="R208" s="297"/>
      <c r="S208" s="297"/>
    </row>
    <row r="209" spans="1:29" ht="14.25" hidden="1" x14ac:dyDescent="0.3">
      <c r="A209" s="245"/>
      <c r="B209" s="290"/>
      <c r="C209" s="272" t="s">
        <v>1457</v>
      </c>
      <c r="D209" s="274"/>
      <c r="E209" s="2129">
        <f>E42</f>
        <v>2026</v>
      </c>
      <c r="F209" s="2127">
        <f t="shared" ref="F209:S209" si="44">E209+1</f>
        <v>2027</v>
      </c>
      <c r="G209" s="2127">
        <f t="shared" si="44"/>
        <v>2028</v>
      </c>
      <c r="H209" s="2127">
        <f t="shared" si="44"/>
        <v>2029</v>
      </c>
      <c r="I209" s="2127">
        <f t="shared" si="44"/>
        <v>2030</v>
      </c>
      <c r="J209" s="2127">
        <f t="shared" si="44"/>
        <v>2031</v>
      </c>
      <c r="K209" s="2127">
        <f t="shared" si="44"/>
        <v>2032</v>
      </c>
      <c r="L209" s="2127">
        <f t="shared" si="44"/>
        <v>2033</v>
      </c>
      <c r="M209" s="2127">
        <f t="shared" si="44"/>
        <v>2034</v>
      </c>
      <c r="N209" s="2127">
        <f t="shared" si="44"/>
        <v>2035</v>
      </c>
      <c r="O209" s="2127">
        <f t="shared" si="44"/>
        <v>2036</v>
      </c>
      <c r="P209" s="2127">
        <f t="shared" si="44"/>
        <v>2037</v>
      </c>
      <c r="Q209" s="2127">
        <f t="shared" si="44"/>
        <v>2038</v>
      </c>
      <c r="R209" s="2127">
        <f t="shared" si="44"/>
        <v>2039</v>
      </c>
      <c r="S209" s="2125">
        <f t="shared" si="44"/>
        <v>2040</v>
      </c>
      <c r="T209" s="247"/>
      <c r="U209" s="247"/>
      <c r="V209" s="247"/>
      <c r="W209" s="247"/>
      <c r="X209" s="247"/>
      <c r="Y209" s="247"/>
      <c r="Z209" s="247"/>
      <c r="AA209" s="247"/>
      <c r="AB209" s="247"/>
      <c r="AC209" s="247"/>
    </row>
    <row r="210" spans="1:29" ht="14.25" hidden="1" x14ac:dyDescent="0.3">
      <c r="A210" s="245"/>
      <c r="B210" s="257" t="s">
        <v>4</v>
      </c>
      <c r="C210" s="590" t="s">
        <v>1458</v>
      </c>
      <c r="D210" s="591" t="str">
        <f>IF('0 Úvod'!$M$10="English",Slovnik!$D$284,Slovnik!$C$284)</f>
        <v>Celkem</v>
      </c>
      <c r="E210" s="2134"/>
      <c r="F210" s="2135"/>
      <c r="G210" s="2135"/>
      <c r="H210" s="2135"/>
      <c r="I210" s="2135"/>
      <c r="J210" s="2135"/>
      <c r="K210" s="2135"/>
      <c r="L210" s="2135"/>
      <c r="M210" s="2135"/>
      <c r="N210" s="2135"/>
      <c r="O210" s="2135"/>
      <c r="P210" s="2135"/>
      <c r="Q210" s="2135"/>
      <c r="R210" s="2135"/>
      <c r="S210" s="2136"/>
      <c r="T210" s="247"/>
      <c r="U210" s="247"/>
      <c r="V210" s="247"/>
      <c r="W210" s="247"/>
      <c r="X210" s="247"/>
      <c r="Y210" s="247"/>
      <c r="Z210" s="247"/>
      <c r="AA210" s="247"/>
      <c r="AB210" s="247"/>
      <c r="AC210" s="247"/>
    </row>
    <row r="211" spans="1:29" ht="14.25" hidden="1" x14ac:dyDescent="0.3">
      <c r="A211" s="245"/>
      <c r="B211" s="619" t="s">
        <v>438</v>
      </c>
      <c r="C211" s="626"/>
      <c r="D211" s="620">
        <f>SUM(E211:S211,E221:S221)</f>
        <v>0</v>
      </c>
      <c r="E211" s="624">
        <f>'3 Doprava a přeprava'!D6</f>
        <v>0</v>
      </c>
      <c r="F211" s="618">
        <f>'3 Doprava a přeprava'!E6</f>
        <v>0</v>
      </c>
      <c r="G211" s="618">
        <f>'3 Doprava a přeprava'!F6</f>
        <v>0</v>
      </c>
      <c r="H211" s="618">
        <f>'3 Doprava a přeprava'!G6</f>
        <v>0</v>
      </c>
      <c r="I211" s="618">
        <f>'3 Doprava a přeprava'!H6</f>
        <v>0</v>
      </c>
      <c r="J211" s="618">
        <f>'3 Doprava a přeprava'!I6</f>
        <v>0</v>
      </c>
      <c r="K211" s="618">
        <f>'3 Doprava a přeprava'!J6</f>
        <v>0</v>
      </c>
      <c r="L211" s="618">
        <f>'3 Doprava a přeprava'!K6</f>
        <v>0</v>
      </c>
      <c r="M211" s="618">
        <f>'3 Doprava a přeprava'!L6</f>
        <v>0</v>
      </c>
      <c r="N211" s="618">
        <f>'3 Doprava a přeprava'!M6</f>
        <v>0</v>
      </c>
      <c r="O211" s="618">
        <f>'3 Doprava a přeprava'!N6</f>
        <v>0</v>
      </c>
      <c r="P211" s="618">
        <f>'3 Doprava a přeprava'!O6</f>
        <v>0</v>
      </c>
      <c r="Q211" s="618">
        <f>'3 Doprava a přeprava'!P6</f>
        <v>0</v>
      </c>
      <c r="R211" s="618">
        <f>'3 Doprava a přeprava'!Q6</f>
        <v>0</v>
      </c>
      <c r="S211" s="625">
        <f>'3 Doprava a přeprava'!R6</f>
        <v>0</v>
      </c>
      <c r="T211" s="236"/>
      <c r="U211" s="236"/>
      <c r="V211" s="236"/>
      <c r="W211" s="236"/>
      <c r="X211" s="236"/>
      <c r="Y211" s="236"/>
      <c r="Z211" s="236"/>
      <c r="AA211" s="236"/>
      <c r="AB211" s="236"/>
      <c r="AC211" s="236"/>
    </row>
    <row r="212" spans="1:29" s="289" customFormat="1" ht="14.25" hidden="1" x14ac:dyDescent="0.3">
      <c r="A212" s="287"/>
      <c r="B212" s="621" t="s">
        <v>1448</v>
      </c>
      <c r="C212" s="627"/>
      <c r="D212" s="622">
        <f>SUM(E212:S212,E222:S222)</f>
        <v>0</v>
      </c>
      <c r="E212" s="594">
        <f>'3 Doprava a přeprava'!D7</f>
        <v>0</v>
      </c>
      <c r="F212" s="595">
        <f>'3 Doprava a přeprava'!E7</f>
        <v>0</v>
      </c>
      <c r="G212" s="595">
        <f>'3 Doprava a přeprava'!F7</f>
        <v>0</v>
      </c>
      <c r="H212" s="595">
        <f>'3 Doprava a přeprava'!G7</f>
        <v>0</v>
      </c>
      <c r="I212" s="595">
        <f>'3 Doprava a přeprava'!H7</f>
        <v>0</v>
      </c>
      <c r="J212" s="595">
        <f>'3 Doprava a přeprava'!I7</f>
        <v>0</v>
      </c>
      <c r="K212" s="595">
        <f>'3 Doprava a přeprava'!J7</f>
        <v>0</v>
      </c>
      <c r="L212" s="595">
        <f>'3 Doprava a přeprava'!K7</f>
        <v>0</v>
      </c>
      <c r="M212" s="595">
        <f>'3 Doprava a přeprava'!L7</f>
        <v>0</v>
      </c>
      <c r="N212" s="595">
        <f>'3 Doprava a přeprava'!M7</f>
        <v>0</v>
      </c>
      <c r="O212" s="595">
        <f>'3 Doprava a přeprava'!N7</f>
        <v>0</v>
      </c>
      <c r="P212" s="595">
        <f>'3 Doprava a přeprava'!O7</f>
        <v>0</v>
      </c>
      <c r="Q212" s="595">
        <f>'3 Doprava a přeprava'!P7</f>
        <v>0</v>
      </c>
      <c r="R212" s="595">
        <f>'3 Doprava a přeprava'!Q7</f>
        <v>0</v>
      </c>
      <c r="S212" s="596">
        <f>'3 Doprava a přeprava'!R7</f>
        <v>0</v>
      </c>
      <c r="T212" s="288"/>
      <c r="U212" s="288"/>
      <c r="V212" s="288"/>
      <c r="W212" s="288"/>
      <c r="X212" s="288"/>
      <c r="Y212" s="288"/>
      <c r="Z212" s="288"/>
      <c r="AA212" s="288"/>
      <c r="AB212" s="288"/>
      <c r="AC212" s="288"/>
    </row>
    <row r="213" spans="1:29" ht="14.25" hidden="1" customHeight="1" x14ac:dyDescent="0.3">
      <c r="A213" s="245"/>
      <c r="B213" s="623" t="s">
        <v>1449</v>
      </c>
      <c r="C213" s="626"/>
      <c r="D213" s="620">
        <f>SUM(E213:S213,E223:S223)</f>
        <v>0</v>
      </c>
      <c r="E213" s="624">
        <f>'3 Doprava a přeprava'!D8</f>
        <v>0</v>
      </c>
      <c r="F213" s="618">
        <f>'3 Doprava a přeprava'!E8</f>
        <v>0</v>
      </c>
      <c r="G213" s="618">
        <f>'3 Doprava a přeprava'!F8</f>
        <v>0</v>
      </c>
      <c r="H213" s="618">
        <f>'3 Doprava a přeprava'!G8</f>
        <v>0</v>
      </c>
      <c r="I213" s="618">
        <f>'3 Doprava a přeprava'!H8</f>
        <v>0</v>
      </c>
      <c r="J213" s="618">
        <f>'3 Doprava a přeprava'!I8</f>
        <v>0</v>
      </c>
      <c r="K213" s="618">
        <f>'3 Doprava a přeprava'!J8</f>
        <v>0</v>
      </c>
      <c r="L213" s="618">
        <f>'3 Doprava a přeprava'!K8</f>
        <v>0</v>
      </c>
      <c r="M213" s="618">
        <f>'3 Doprava a přeprava'!L8</f>
        <v>0</v>
      </c>
      <c r="N213" s="618">
        <f>'3 Doprava a přeprava'!M8</f>
        <v>0</v>
      </c>
      <c r="O213" s="618">
        <f>'3 Doprava a přeprava'!N8</f>
        <v>0</v>
      </c>
      <c r="P213" s="618">
        <f>'3 Doprava a přeprava'!O8</f>
        <v>0</v>
      </c>
      <c r="Q213" s="618">
        <f>'3 Doprava a přeprava'!P8</f>
        <v>0</v>
      </c>
      <c r="R213" s="618">
        <f>'3 Doprava a přeprava'!Q8</f>
        <v>0</v>
      </c>
      <c r="S213" s="625">
        <f>'3 Doprava a přeprava'!R8</f>
        <v>0</v>
      </c>
      <c r="T213" s="236"/>
      <c r="U213" s="236"/>
      <c r="V213" s="236"/>
      <c r="W213" s="236"/>
      <c r="X213" s="236"/>
      <c r="Y213" s="236"/>
      <c r="Z213" s="236"/>
      <c r="AA213" s="236"/>
      <c r="AB213" s="236"/>
      <c r="AC213" s="236"/>
    </row>
    <row r="214" spans="1:29" s="289" customFormat="1" ht="14.25" hidden="1" x14ac:dyDescent="0.3">
      <c r="A214" s="287"/>
      <c r="B214" s="621" t="s">
        <v>1450</v>
      </c>
      <c r="C214" s="627"/>
      <c r="D214" s="622">
        <f>SUM(E214:S214,E224:S224)</f>
        <v>0</v>
      </c>
      <c r="E214" s="594">
        <f>'3 Doprava a přeprava'!D9</f>
        <v>0</v>
      </c>
      <c r="F214" s="595">
        <f>'3 Doprava a přeprava'!E9</f>
        <v>0</v>
      </c>
      <c r="G214" s="595">
        <f>'3 Doprava a přeprava'!F9</f>
        <v>0</v>
      </c>
      <c r="H214" s="595">
        <f>'3 Doprava a přeprava'!G9</f>
        <v>0</v>
      </c>
      <c r="I214" s="595">
        <f>'3 Doprava a přeprava'!H9</f>
        <v>0</v>
      </c>
      <c r="J214" s="595">
        <f>'3 Doprava a přeprava'!I9</f>
        <v>0</v>
      </c>
      <c r="K214" s="595">
        <f>'3 Doprava a přeprava'!J9</f>
        <v>0</v>
      </c>
      <c r="L214" s="595">
        <f>'3 Doprava a přeprava'!K9</f>
        <v>0</v>
      </c>
      <c r="M214" s="595">
        <f>'3 Doprava a přeprava'!L9</f>
        <v>0</v>
      </c>
      <c r="N214" s="595">
        <f>'3 Doprava a přeprava'!M9</f>
        <v>0</v>
      </c>
      <c r="O214" s="595">
        <f>'3 Doprava a přeprava'!N9</f>
        <v>0</v>
      </c>
      <c r="P214" s="595">
        <f>'3 Doprava a přeprava'!O9</f>
        <v>0</v>
      </c>
      <c r="Q214" s="595">
        <f>'3 Doprava a přeprava'!P9</f>
        <v>0</v>
      </c>
      <c r="R214" s="595">
        <f>'3 Doprava a přeprava'!Q9</f>
        <v>0</v>
      </c>
      <c r="S214" s="596">
        <f>'3 Doprava a přeprava'!R9</f>
        <v>0</v>
      </c>
      <c r="T214" s="288"/>
      <c r="U214" s="288"/>
      <c r="V214" s="288"/>
      <c r="W214" s="288"/>
      <c r="X214" s="288"/>
      <c r="Y214" s="288"/>
      <c r="Z214" s="288"/>
      <c r="AA214" s="288"/>
      <c r="AB214" s="288"/>
      <c r="AC214" s="288"/>
    </row>
    <row r="215" spans="1:29" s="289" customFormat="1" ht="14.25" hidden="1" x14ac:dyDescent="0.3">
      <c r="A215" s="287"/>
      <c r="B215" s="623" t="s">
        <v>439</v>
      </c>
      <c r="C215" s="626"/>
      <c r="D215" s="620">
        <f>SUM(E215:S215,E225:S225)</f>
        <v>0</v>
      </c>
      <c r="E215" s="624">
        <f>'3 Doprava a přeprava'!D10</f>
        <v>0</v>
      </c>
      <c r="F215" s="618">
        <f>'3 Doprava a přeprava'!E10</f>
        <v>0</v>
      </c>
      <c r="G215" s="618">
        <f>'3 Doprava a přeprava'!F10</f>
        <v>0</v>
      </c>
      <c r="H215" s="618">
        <f>'3 Doprava a přeprava'!G10</f>
        <v>0</v>
      </c>
      <c r="I215" s="618">
        <f>'3 Doprava a přeprava'!H10</f>
        <v>0</v>
      </c>
      <c r="J215" s="618">
        <f>'3 Doprava a přeprava'!I10</f>
        <v>0</v>
      </c>
      <c r="K215" s="618">
        <f>'3 Doprava a přeprava'!J10</f>
        <v>0</v>
      </c>
      <c r="L215" s="618">
        <f>'3 Doprava a přeprava'!K10</f>
        <v>0</v>
      </c>
      <c r="M215" s="618">
        <f>'3 Doprava a přeprava'!L10</f>
        <v>0</v>
      </c>
      <c r="N215" s="618">
        <f>'3 Doprava a přeprava'!M10</f>
        <v>0</v>
      </c>
      <c r="O215" s="618">
        <f>'3 Doprava a přeprava'!N10</f>
        <v>0</v>
      </c>
      <c r="P215" s="618">
        <f>'3 Doprava a přeprava'!O10</f>
        <v>0</v>
      </c>
      <c r="Q215" s="618">
        <f>'3 Doprava a přeprava'!P10</f>
        <v>0</v>
      </c>
      <c r="R215" s="618">
        <f>'3 Doprava a přeprava'!Q10</f>
        <v>0</v>
      </c>
      <c r="S215" s="625">
        <f>'3 Doprava a přeprava'!R10</f>
        <v>0</v>
      </c>
      <c r="T215" s="288"/>
      <c r="U215" s="288"/>
      <c r="V215" s="288"/>
      <c r="W215" s="288"/>
      <c r="X215" s="288"/>
      <c r="Y215" s="288"/>
      <c r="Z215" s="288"/>
      <c r="AA215" s="288"/>
      <c r="AB215" s="288"/>
      <c r="AC215" s="288"/>
    </row>
    <row r="216" spans="1:29" s="289" customFormat="1" ht="14.25" hidden="1" x14ac:dyDescent="0.3">
      <c r="A216" s="287"/>
      <c r="B216" s="608" t="str">
        <f>B59</f>
        <v>bez rozlišení</v>
      </c>
      <c r="C216" s="607"/>
      <c r="D216" s="622"/>
      <c r="E216" s="594">
        <v>1</v>
      </c>
      <c r="F216" s="595">
        <v>1</v>
      </c>
      <c r="G216" s="595">
        <v>1</v>
      </c>
      <c r="H216" s="595">
        <v>1</v>
      </c>
      <c r="I216" s="595">
        <v>1</v>
      </c>
      <c r="J216" s="595">
        <v>1</v>
      </c>
      <c r="K216" s="595">
        <v>1</v>
      </c>
      <c r="L216" s="595">
        <v>1</v>
      </c>
      <c r="M216" s="595">
        <v>1</v>
      </c>
      <c r="N216" s="595">
        <v>1</v>
      </c>
      <c r="O216" s="595">
        <v>1</v>
      </c>
      <c r="P216" s="595">
        <v>1</v>
      </c>
      <c r="Q216" s="595">
        <v>1</v>
      </c>
      <c r="R216" s="595">
        <v>1</v>
      </c>
      <c r="S216" s="596">
        <v>1</v>
      </c>
      <c r="T216" s="288"/>
      <c r="U216" s="288"/>
      <c r="V216" s="288"/>
      <c r="W216" s="288"/>
      <c r="X216" s="288"/>
      <c r="Y216" s="288"/>
      <c r="Z216" s="288"/>
      <c r="AA216" s="288"/>
      <c r="AB216" s="288"/>
      <c r="AC216" s="288"/>
    </row>
    <row r="217" spans="1:29" ht="15" hidden="1" thickBot="1" x14ac:dyDescent="0.35">
      <c r="A217" s="245"/>
      <c r="B217" s="582"/>
      <c r="C217" s="240"/>
      <c r="D217" s="241"/>
      <c r="E217" s="615"/>
      <c r="F217" s="616"/>
      <c r="G217" s="616"/>
      <c r="H217" s="616"/>
      <c r="I217" s="616"/>
      <c r="J217" s="616"/>
      <c r="K217" s="616"/>
      <c r="L217" s="616"/>
      <c r="M217" s="616"/>
      <c r="N217" s="616"/>
      <c r="O217" s="616"/>
      <c r="P217" s="616"/>
      <c r="Q217" s="616"/>
      <c r="R217" s="616"/>
      <c r="S217" s="617"/>
      <c r="T217" s="237"/>
      <c r="U217" s="237"/>
      <c r="V217" s="237"/>
      <c r="W217" s="237"/>
      <c r="X217" s="237"/>
      <c r="Y217" s="237"/>
      <c r="Z217" s="237"/>
      <c r="AA217" s="237"/>
      <c r="AB217" s="237"/>
      <c r="AC217" s="237"/>
    </row>
    <row r="218" spans="1:29" ht="14.25" hidden="1" thickBot="1" x14ac:dyDescent="0.35">
      <c r="A218" s="245"/>
      <c r="B218" s="249"/>
      <c r="C218" s="245"/>
      <c r="D218" s="236"/>
      <c r="E218" s="236"/>
      <c r="F218" s="236"/>
      <c r="G218" s="236"/>
      <c r="H218" s="236"/>
      <c r="I218" s="236"/>
      <c r="J218" s="236"/>
      <c r="K218" s="236"/>
      <c r="L218" s="236"/>
      <c r="M218" s="236"/>
      <c r="N218" s="236"/>
      <c r="O218" s="236"/>
      <c r="P218" s="236"/>
      <c r="Q218" s="236"/>
      <c r="R218" s="236"/>
      <c r="S218" s="236"/>
      <c r="T218" s="236"/>
      <c r="U218" s="236"/>
      <c r="V218" s="236"/>
      <c r="W218" s="236"/>
      <c r="X218" s="236"/>
      <c r="Y218" s="236"/>
      <c r="Z218" s="236"/>
      <c r="AA218" s="236"/>
      <c r="AB218" s="236"/>
      <c r="AC218" s="236"/>
    </row>
    <row r="219" spans="1:29" ht="14.25" hidden="1" x14ac:dyDescent="0.3">
      <c r="A219" s="245"/>
      <c r="B219" s="238">
        <f>B209</f>
        <v>0</v>
      </c>
      <c r="C219" s="272" t="str">
        <f>C209</f>
        <v>vozové km</v>
      </c>
      <c r="D219" s="275"/>
      <c r="E219" s="2129">
        <f>S209+1</f>
        <v>2041</v>
      </c>
      <c r="F219" s="2127">
        <f t="shared" ref="F219:S219" si="45">E219+1</f>
        <v>2042</v>
      </c>
      <c r="G219" s="2127">
        <f t="shared" si="45"/>
        <v>2043</v>
      </c>
      <c r="H219" s="2127">
        <f t="shared" si="45"/>
        <v>2044</v>
      </c>
      <c r="I219" s="2127">
        <f t="shared" si="45"/>
        <v>2045</v>
      </c>
      <c r="J219" s="2127">
        <f t="shared" si="45"/>
        <v>2046</v>
      </c>
      <c r="K219" s="2127">
        <f t="shared" si="45"/>
        <v>2047</v>
      </c>
      <c r="L219" s="2127">
        <f t="shared" si="45"/>
        <v>2048</v>
      </c>
      <c r="M219" s="2127">
        <f t="shared" si="45"/>
        <v>2049</v>
      </c>
      <c r="N219" s="2127">
        <f t="shared" si="45"/>
        <v>2050</v>
      </c>
      <c r="O219" s="2127">
        <f t="shared" si="45"/>
        <v>2051</v>
      </c>
      <c r="P219" s="2127">
        <f t="shared" si="45"/>
        <v>2052</v>
      </c>
      <c r="Q219" s="2127">
        <f t="shared" si="45"/>
        <v>2053</v>
      </c>
      <c r="R219" s="2127">
        <f t="shared" si="45"/>
        <v>2054</v>
      </c>
      <c r="S219" s="2125">
        <f t="shared" si="45"/>
        <v>2055</v>
      </c>
      <c r="T219" s="247"/>
      <c r="U219" s="247"/>
      <c r="V219" s="247"/>
      <c r="W219" s="247"/>
      <c r="X219" s="247"/>
      <c r="Y219" s="247"/>
      <c r="Z219" s="247"/>
      <c r="AA219" s="247"/>
      <c r="AB219" s="247"/>
      <c r="AC219" s="247"/>
    </row>
    <row r="220" spans="1:29" ht="15" hidden="1" thickBot="1" x14ac:dyDescent="0.35">
      <c r="A220" s="245"/>
      <c r="B220" s="256" t="s">
        <v>5</v>
      </c>
      <c r="C220" s="544" t="str">
        <f t="shared" ref="C220:C225" si="46">C210</f>
        <v>s projektem</v>
      </c>
      <c r="D220" s="298"/>
      <c r="E220" s="2130"/>
      <c r="F220" s="2128"/>
      <c r="G220" s="2128"/>
      <c r="H220" s="2128"/>
      <c r="I220" s="2128"/>
      <c r="J220" s="2128"/>
      <c r="K220" s="2128"/>
      <c r="L220" s="2128"/>
      <c r="M220" s="2128"/>
      <c r="N220" s="2128"/>
      <c r="O220" s="2128"/>
      <c r="P220" s="2128"/>
      <c r="Q220" s="2128"/>
      <c r="R220" s="2128"/>
      <c r="S220" s="2126"/>
      <c r="T220" s="247"/>
      <c r="U220" s="247"/>
      <c r="V220" s="247"/>
      <c r="W220" s="247"/>
      <c r="X220" s="247"/>
      <c r="Y220" s="247"/>
      <c r="Z220" s="247"/>
      <c r="AA220" s="247"/>
      <c r="AB220" s="247"/>
      <c r="AC220" s="247"/>
    </row>
    <row r="221" spans="1:29" ht="12" hidden="1" customHeight="1" x14ac:dyDescent="0.3">
      <c r="A221" s="245"/>
      <c r="B221" s="619" t="str">
        <f t="shared" ref="B221:B226" si="47">B211</f>
        <v>BUS</v>
      </c>
      <c r="C221" s="626">
        <f t="shared" si="46"/>
        <v>0</v>
      </c>
      <c r="D221" s="620"/>
      <c r="E221" s="624">
        <f>'3 Doprava a přeprava'!D15</f>
        <v>0</v>
      </c>
      <c r="F221" s="618">
        <f>'3 Doprava a přeprava'!E15</f>
        <v>0</v>
      </c>
      <c r="G221" s="618">
        <f>'3 Doprava a přeprava'!F15</f>
        <v>0</v>
      </c>
      <c r="H221" s="618">
        <f>'3 Doprava a přeprava'!G15</f>
        <v>0</v>
      </c>
      <c r="I221" s="618">
        <f>'3 Doprava a přeprava'!H15</f>
        <v>0</v>
      </c>
      <c r="J221" s="618">
        <f>'3 Doprava a přeprava'!I15</f>
        <v>0</v>
      </c>
      <c r="K221" s="618">
        <f>'3 Doprava a přeprava'!J15</f>
        <v>0</v>
      </c>
      <c r="L221" s="618">
        <f>'3 Doprava a přeprava'!K15</f>
        <v>0</v>
      </c>
      <c r="M221" s="618">
        <f>'3 Doprava a přeprava'!L15</f>
        <v>0</v>
      </c>
      <c r="N221" s="618">
        <f>'3 Doprava a přeprava'!M15</f>
        <v>0</v>
      </c>
      <c r="O221" s="618">
        <f>'3 Doprava a přeprava'!N15</f>
        <v>0</v>
      </c>
      <c r="P221" s="618">
        <f>'3 Doprava a přeprava'!O15</f>
        <v>0</v>
      </c>
      <c r="Q221" s="618">
        <f>'3 Doprava a přeprava'!P15</f>
        <v>0</v>
      </c>
      <c r="R221" s="618">
        <f>'3 Doprava a přeprava'!Q15</f>
        <v>0</v>
      </c>
      <c r="S221" s="625">
        <f>'3 Doprava a přeprava'!R15</f>
        <v>0</v>
      </c>
      <c r="T221" s="477"/>
      <c r="U221" s="236"/>
      <c r="V221" s="236"/>
      <c r="W221" s="236"/>
      <c r="X221" s="236"/>
      <c r="Y221" s="236"/>
      <c r="Z221" s="236"/>
      <c r="AA221" s="236"/>
      <c r="AB221" s="236"/>
      <c r="AC221" s="236"/>
    </row>
    <row r="222" spans="1:29" s="289" customFormat="1" ht="12" hidden="1" customHeight="1" x14ac:dyDescent="0.3">
      <c r="A222" s="287"/>
      <c r="B222" s="621" t="str">
        <f t="shared" si="47"/>
        <v>Trolejbus</v>
      </c>
      <c r="C222" s="627">
        <f t="shared" si="46"/>
        <v>0</v>
      </c>
      <c r="D222" s="622"/>
      <c r="E222" s="594">
        <f>'3 Doprava a přeprava'!D16</f>
        <v>0</v>
      </c>
      <c r="F222" s="595">
        <f>'3 Doprava a přeprava'!E16</f>
        <v>0</v>
      </c>
      <c r="G222" s="595">
        <f>'3 Doprava a přeprava'!F16</f>
        <v>0</v>
      </c>
      <c r="H222" s="595">
        <f>'3 Doprava a přeprava'!G16</f>
        <v>0</v>
      </c>
      <c r="I222" s="595">
        <f>'3 Doprava a přeprava'!H16</f>
        <v>0</v>
      </c>
      <c r="J222" s="595">
        <f>'3 Doprava a přeprava'!I16</f>
        <v>0</v>
      </c>
      <c r="K222" s="595">
        <f>'3 Doprava a přeprava'!J16</f>
        <v>0</v>
      </c>
      <c r="L222" s="595">
        <f>'3 Doprava a přeprava'!K16</f>
        <v>0</v>
      </c>
      <c r="M222" s="595">
        <f>'3 Doprava a přeprava'!L16</f>
        <v>0</v>
      </c>
      <c r="N222" s="595">
        <f>'3 Doprava a přeprava'!M16</f>
        <v>0</v>
      </c>
      <c r="O222" s="595">
        <f>'3 Doprava a přeprava'!N16</f>
        <v>0</v>
      </c>
      <c r="P222" s="595">
        <f>'3 Doprava a přeprava'!O16</f>
        <v>0</v>
      </c>
      <c r="Q222" s="595">
        <f>'3 Doprava a přeprava'!P16</f>
        <v>0</v>
      </c>
      <c r="R222" s="595">
        <f>'3 Doprava a přeprava'!Q16</f>
        <v>0</v>
      </c>
      <c r="S222" s="596">
        <f>'3 Doprava a přeprava'!R16</f>
        <v>0</v>
      </c>
      <c r="T222" s="479"/>
      <c r="U222" s="288"/>
      <c r="V222" s="288"/>
      <c r="W222" s="288"/>
      <c r="X222" s="288"/>
      <c r="Y222" s="288"/>
      <c r="Z222" s="288"/>
      <c r="AA222" s="288"/>
      <c r="AB222" s="288"/>
      <c r="AC222" s="288"/>
    </row>
    <row r="223" spans="1:29" ht="12" hidden="1" customHeight="1" x14ac:dyDescent="0.3">
      <c r="A223" s="245"/>
      <c r="B223" s="623" t="str">
        <f t="shared" si="47"/>
        <v>Tramvaj</v>
      </c>
      <c r="C223" s="626">
        <f t="shared" si="46"/>
        <v>0</v>
      </c>
      <c r="D223" s="620"/>
      <c r="E223" s="624">
        <f>'3 Doprava a přeprava'!D17</f>
        <v>0</v>
      </c>
      <c r="F223" s="618">
        <f>'3 Doprava a přeprava'!E17</f>
        <v>0</v>
      </c>
      <c r="G223" s="618">
        <f>'3 Doprava a přeprava'!F17</f>
        <v>0</v>
      </c>
      <c r="H223" s="618">
        <f>'3 Doprava a přeprava'!G17</f>
        <v>0</v>
      </c>
      <c r="I223" s="618">
        <f>'3 Doprava a přeprava'!H17</f>
        <v>0</v>
      </c>
      <c r="J223" s="618">
        <f>'3 Doprava a přeprava'!I17</f>
        <v>0</v>
      </c>
      <c r="K223" s="618">
        <f>'3 Doprava a přeprava'!J17</f>
        <v>0</v>
      </c>
      <c r="L223" s="618">
        <f>'3 Doprava a přeprava'!K17</f>
        <v>0</v>
      </c>
      <c r="M223" s="618">
        <f>'3 Doprava a přeprava'!L17</f>
        <v>0</v>
      </c>
      <c r="N223" s="618">
        <f>'3 Doprava a přeprava'!M17</f>
        <v>0</v>
      </c>
      <c r="O223" s="618">
        <f>'3 Doprava a přeprava'!N17</f>
        <v>0</v>
      </c>
      <c r="P223" s="618">
        <f>'3 Doprava a přeprava'!O17</f>
        <v>0</v>
      </c>
      <c r="Q223" s="618">
        <f>'3 Doprava a přeprava'!P17</f>
        <v>0</v>
      </c>
      <c r="R223" s="618">
        <f>'3 Doprava a přeprava'!Q17</f>
        <v>0</v>
      </c>
      <c r="S223" s="625">
        <f>'3 Doprava a přeprava'!R17</f>
        <v>0</v>
      </c>
      <c r="T223" s="477"/>
      <c r="U223" s="236"/>
      <c r="V223" s="236"/>
      <c r="W223" s="236"/>
      <c r="X223" s="236"/>
      <c r="Y223" s="236"/>
      <c r="Z223" s="236"/>
      <c r="AA223" s="236"/>
      <c r="AB223" s="236"/>
      <c r="AC223" s="236"/>
    </row>
    <row r="224" spans="1:29" s="289" customFormat="1" ht="12" hidden="1" customHeight="1" x14ac:dyDescent="0.3">
      <c r="A224" s="287"/>
      <c r="B224" s="621" t="str">
        <f t="shared" si="47"/>
        <v>Metro</v>
      </c>
      <c r="C224" s="627">
        <f t="shared" si="46"/>
        <v>0</v>
      </c>
      <c r="D224" s="622"/>
      <c r="E224" s="594">
        <f>'3 Doprava a přeprava'!D18</f>
        <v>0</v>
      </c>
      <c r="F224" s="595">
        <f>'3 Doprava a přeprava'!E18</f>
        <v>0</v>
      </c>
      <c r="G224" s="595">
        <f>'3 Doprava a přeprava'!F18</f>
        <v>0</v>
      </c>
      <c r="H224" s="595">
        <f>'3 Doprava a přeprava'!G18</f>
        <v>0</v>
      </c>
      <c r="I224" s="595">
        <f>'3 Doprava a přeprava'!H18</f>
        <v>0</v>
      </c>
      <c r="J224" s="595">
        <f>'3 Doprava a přeprava'!I18</f>
        <v>0</v>
      </c>
      <c r="K224" s="595">
        <f>'3 Doprava a přeprava'!J18</f>
        <v>0</v>
      </c>
      <c r="L224" s="595">
        <f>'3 Doprava a přeprava'!K18</f>
        <v>0</v>
      </c>
      <c r="M224" s="595">
        <f>'3 Doprava a přeprava'!L18</f>
        <v>0</v>
      </c>
      <c r="N224" s="595">
        <f>'3 Doprava a přeprava'!M18</f>
        <v>0</v>
      </c>
      <c r="O224" s="595">
        <f>'3 Doprava a přeprava'!N18</f>
        <v>0</v>
      </c>
      <c r="P224" s="595">
        <f>'3 Doprava a přeprava'!O18</f>
        <v>0</v>
      </c>
      <c r="Q224" s="595">
        <f>'3 Doprava a přeprava'!P18</f>
        <v>0</v>
      </c>
      <c r="R224" s="595">
        <f>'3 Doprava a přeprava'!Q18</f>
        <v>0</v>
      </c>
      <c r="S224" s="596">
        <f>'3 Doprava a přeprava'!R18</f>
        <v>0</v>
      </c>
      <c r="T224" s="479"/>
      <c r="U224" s="288"/>
      <c r="V224" s="288"/>
      <c r="W224" s="288"/>
      <c r="X224" s="288"/>
      <c r="Y224" s="288"/>
      <c r="Z224" s="288"/>
      <c r="AA224" s="288"/>
      <c r="AB224" s="288"/>
      <c r="AC224" s="288"/>
    </row>
    <row r="225" spans="1:29" s="289" customFormat="1" ht="12" hidden="1" customHeight="1" x14ac:dyDescent="0.3">
      <c r="A225" s="287"/>
      <c r="B225" s="623" t="str">
        <f t="shared" si="47"/>
        <v>IAD</v>
      </c>
      <c r="C225" s="626">
        <f t="shared" si="46"/>
        <v>0</v>
      </c>
      <c r="D225" s="620"/>
      <c r="E225" s="624">
        <f>'3 Doprava a přeprava'!D19</f>
        <v>0</v>
      </c>
      <c r="F225" s="618">
        <f>'3 Doprava a přeprava'!E19</f>
        <v>0</v>
      </c>
      <c r="G225" s="618">
        <f>'3 Doprava a přeprava'!F19</f>
        <v>0</v>
      </c>
      <c r="H225" s="618">
        <f>'3 Doprava a přeprava'!G19</f>
        <v>0</v>
      </c>
      <c r="I225" s="618">
        <f>'3 Doprava a přeprava'!H19</f>
        <v>0</v>
      </c>
      <c r="J225" s="618">
        <f>'3 Doprava a přeprava'!I19</f>
        <v>0</v>
      </c>
      <c r="K225" s="618">
        <f>'3 Doprava a přeprava'!J19</f>
        <v>0</v>
      </c>
      <c r="L225" s="618">
        <f>'3 Doprava a přeprava'!K19</f>
        <v>0</v>
      </c>
      <c r="M225" s="618">
        <f>'3 Doprava a přeprava'!L19</f>
        <v>0</v>
      </c>
      <c r="N225" s="618">
        <f>'3 Doprava a přeprava'!M19</f>
        <v>0</v>
      </c>
      <c r="O225" s="618">
        <f>'3 Doprava a přeprava'!N19</f>
        <v>0</v>
      </c>
      <c r="P225" s="618">
        <f>'3 Doprava a přeprava'!O19</f>
        <v>0</v>
      </c>
      <c r="Q225" s="618">
        <f>'3 Doprava a přeprava'!P19</f>
        <v>0</v>
      </c>
      <c r="R225" s="618">
        <f>'3 Doprava a přeprava'!Q19</f>
        <v>0</v>
      </c>
      <c r="S225" s="625">
        <f>'3 Doprava a přeprava'!R19</f>
        <v>0</v>
      </c>
      <c r="T225" s="479"/>
      <c r="U225" s="288"/>
      <c r="V225" s="288"/>
      <c r="W225" s="288"/>
      <c r="X225" s="288"/>
      <c r="Y225" s="288"/>
      <c r="Z225" s="288"/>
      <c r="AA225" s="288"/>
      <c r="AB225" s="288"/>
      <c r="AC225" s="288"/>
    </row>
    <row r="226" spans="1:29" s="289" customFormat="1" ht="14.25" hidden="1" x14ac:dyDescent="0.3">
      <c r="A226" s="287"/>
      <c r="B226" s="608" t="str">
        <f t="shared" si="47"/>
        <v>bez rozlišení</v>
      </c>
      <c r="C226" s="607"/>
      <c r="D226" s="622"/>
      <c r="E226" s="594">
        <v>1</v>
      </c>
      <c r="F226" s="595">
        <v>1</v>
      </c>
      <c r="G226" s="595">
        <v>1</v>
      </c>
      <c r="H226" s="595">
        <v>1</v>
      </c>
      <c r="I226" s="595">
        <v>1</v>
      </c>
      <c r="J226" s="595">
        <v>1</v>
      </c>
      <c r="K226" s="595">
        <v>1</v>
      </c>
      <c r="L226" s="595">
        <v>1</v>
      </c>
      <c r="M226" s="595">
        <v>1</v>
      </c>
      <c r="N226" s="595">
        <v>1</v>
      </c>
      <c r="O226" s="595">
        <v>1</v>
      </c>
      <c r="P226" s="595">
        <v>1</v>
      </c>
      <c r="Q226" s="595">
        <v>1</v>
      </c>
      <c r="R226" s="595">
        <v>1</v>
      </c>
      <c r="S226" s="596">
        <v>1</v>
      </c>
      <c r="T226" s="288"/>
      <c r="U226" s="288"/>
      <c r="V226" s="288"/>
      <c r="W226" s="288"/>
      <c r="X226" s="288"/>
      <c r="Y226" s="288"/>
      <c r="Z226" s="288"/>
      <c r="AA226" s="288"/>
      <c r="AB226" s="288"/>
      <c r="AC226" s="288"/>
    </row>
    <row r="227" spans="1:29" ht="15" hidden="1" thickBot="1" x14ac:dyDescent="0.35">
      <c r="A227" s="252"/>
      <c r="B227" s="239"/>
      <c r="C227" s="240">
        <f>C217</f>
        <v>0</v>
      </c>
      <c r="D227" s="545"/>
      <c r="E227" s="480">
        <f t="shared" ref="E227:S227" si="48">SUM(E221:E225)</f>
        <v>0</v>
      </c>
      <c r="F227" s="481">
        <f t="shared" si="48"/>
        <v>0</v>
      </c>
      <c r="G227" s="481">
        <f t="shared" si="48"/>
        <v>0</v>
      </c>
      <c r="H227" s="481">
        <f t="shared" si="48"/>
        <v>0</v>
      </c>
      <c r="I227" s="481">
        <f t="shared" si="48"/>
        <v>0</v>
      </c>
      <c r="J227" s="481">
        <f t="shared" si="48"/>
        <v>0</v>
      </c>
      <c r="K227" s="481">
        <f t="shared" si="48"/>
        <v>0</v>
      </c>
      <c r="L227" s="481">
        <f t="shared" si="48"/>
        <v>0</v>
      </c>
      <c r="M227" s="481">
        <f t="shared" si="48"/>
        <v>0</v>
      </c>
      <c r="N227" s="481">
        <f t="shared" si="48"/>
        <v>0</v>
      </c>
      <c r="O227" s="481">
        <f t="shared" si="48"/>
        <v>0</v>
      </c>
      <c r="P227" s="481">
        <f t="shared" si="48"/>
        <v>0</v>
      </c>
      <c r="Q227" s="481">
        <f t="shared" si="48"/>
        <v>0</v>
      </c>
      <c r="R227" s="481">
        <f t="shared" si="48"/>
        <v>0</v>
      </c>
      <c r="S227" s="482">
        <f t="shared" si="48"/>
        <v>0</v>
      </c>
      <c r="T227" s="237"/>
      <c r="U227" s="237"/>
      <c r="V227" s="237"/>
      <c r="W227" s="237"/>
      <c r="X227" s="237"/>
      <c r="Y227" s="237"/>
      <c r="Z227" s="237"/>
      <c r="AA227" s="237"/>
      <c r="AB227" s="237"/>
      <c r="AC227" s="237"/>
    </row>
    <row r="228" spans="1:29" ht="14.25" hidden="1" thickBot="1" x14ac:dyDescent="0.35">
      <c r="A228" s="252"/>
      <c r="B228" s="253"/>
      <c r="C228" s="252"/>
      <c r="D228" s="236"/>
      <c r="E228" s="237"/>
      <c r="F228" s="237"/>
      <c r="G228" s="237"/>
      <c r="H228" s="237"/>
      <c r="I228" s="237"/>
      <c r="J228" s="237"/>
      <c r="K228" s="237"/>
      <c r="L228" s="237"/>
      <c r="M228" s="237"/>
      <c r="N228" s="237"/>
      <c r="O228" s="237"/>
      <c r="P228" s="237"/>
      <c r="Q228" s="237"/>
      <c r="R228" s="237"/>
      <c r="S228" s="237"/>
      <c r="T228" s="237"/>
      <c r="U228" s="237"/>
      <c r="V228" s="237"/>
      <c r="W228" s="237"/>
      <c r="X228" s="237"/>
      <c r="Y228" s="237"/>
      <c r="Z228" s="237"/>
      <c r="AA228" s="237"/>
      <c r="AB228" s="237"/>
      <c r="AC228" s="237"/>
    </row>
    <row r="229" spans="1:29" ht="14.25" hidden="1" x14ac:dyDescent="0.3">
      <c r="A229" s="245"/>
      <c r="B229" s="291"/>
      <c r="C229" s="292" t="str">
        <f>C219</f>
        <v>vozové km</v>
      </c>
      <c r="D229" s="293"/>
      <c r="E229" s="2119">
        <f>E209</f>
        <v>2026</v>
      </c>
      <c r="F229" s="2121">
        <f t="shared" ref="F229:S229" si="49">E229+1</f>
        <v>2027</v>
      </c>
      <c r="G229" s="2121">
        <f t="shared" si="49"/>
        <v>2028</v>
      </c>
      <c r="H229" s="2121">
        <f t="shared" si="49"/>
        <v>2029</v>
      </c>
      <c r="I229" s="2121">
        <f t="shared" si="49"/>
        <v>2030</v>
      </c>
      <c r="J229" s="2121">
        <f t="shared" si="49"/>
        <v>2031</v>
      </c>
      <c r="K229" s="2121">
        <f t="shared" si="49"/>
        <v>2032</v>
      </c>
      <c r="L229" s="2121">
        <f t="shared" si="49"/>
        <v>2033</v>
      </c>
      <c r="M229" s="2121">
        <f t="shared" si="49"/>
        <v>2034</v>
      </c>
      <c r="N229" s="2121">
        <f t="shared" si="49"/>
        <v>2035</v>
      </c>
      <c r="O229" s="2121">
        <f t="shared" si="49"/>
        <v>2036</v>
      </c>
      <c r="P229" s="2121">
        <f t="shared" si="49"/>
        <v>2037</v>
      </c>
      <c r="Q229" s="2121">
        <f t="shared" si="49"/>
        <v>2038</v>
      </c>
      <c r="R229" s="2121">
        <f t="shared" si="49"/>
        <v>2039</v>
      </c>
      <c r="S229" s="2123">
        <f t="shared" si="49"/>
        <v>2040</v>
      </c>
      <c r="T229" s="247"/>
      <c r="U229" s="247"/>
      <c r="V229" s="247"/>
      <c r="W229" s="247"/>
      <c r="X229" s="247"/>
      <c r="Y229" s="247"/>
      <c r="Z229" s="247"/>
      <c r="AA229" s="247"/>
      <c r="AB229" s="247"/>
      <c r="AC229" s="247"/>
    </row>
    <row r="230" spans="1:29" ht="15" hidden="1" thickBot="1" x14ac:dyDescent="0.35">
      <c r="A230" s="245"/>
      <c r="B230" s="294" t="s">
        <v>4</v>
      </c>
      <c r="C230" s="546" t="str">
        <f>IF('0 Úvod'!$M$10="English",Slovnik!$D$283,Slovnik!$C$283)</f>
        <v>Scénář bez projektu</v>
      </c>
      <c r="D230" s="295" t="str">
        <f>D210</f>
        <v>Celkem</v>
      </c>
      <c r="E230" s="2120"/>
      <c r="F230" s="2122"/>
      <c r="G230" s="2122"/>
      <c r="H230" s="2122"/>
      <c r="I230" s="2122"/>
      <c r="J230" s="2122"/>
      <c r="K230" s="2122"/>
      <c r="L230" s="2122"/>
      <c r="M230" s="2122"/>
      <c r="N230" s="2122"/>
      <c r="O230" s="2122"/>
      <c r="P230" s="2122"/>
      <c r="Q230" s="2122"/>
      <c r="R230" s="2122"/>
      <c r="S230" s="2124"/>
      <c r="T230" s="247"/>
      <c r="U230" s="247"/>
      <c r="V230" s="247"/>
      <c r="W230" s="247"/>
      <c r="X230" s="247"/>
      <c r="Y230" s="247"/>
      <c r="Z230" s="247"/>
      <c r="AA230" s="247"/>
      <c r="AB230" s="247"/>
      <c r="AC230" s="247"/>
    </row>
    <row r="231" spans="1:29" ht="12" hidden="1" customHeight="1" x14ac:dyDescent="0.3">
      <c r="A231" s="245"/>
      <c r="B231" s="619" t="str">
        <f t="shared" ref="B231:C235" si="50">B221</f>
        <v>BUS</v>
      </c>
      <c r="C231" s="626">
        <f t="shared" si="50"/>
        <v>0</v>
      </c>
      <c r="D231" s="620">
        <f>SUM(E231:S231,E241:S241)</f>
        <v>0</v>
      </c>
      <c r="E231" s="624">
        <f>'3 Doprava a přeprava'!D24</f>
        <v>0</v>
      </c>
      <c r="F231" s="618">
        <f>'3 Doprava a přeprava'!E24</f>
        <v>0</v>
      </c>
      <c r="G231" s="618">
        <f>'3 Doprava a přeprava'!F24</f>
        <v>0</v>
      </c>
      <c r="H231" s="618">
        <f>'3 Doprava a přeprava'!G24</f>
        <v>0</v>
      </c>
      <c r="I231" s="618">
        <f>'3 Doprava a přeprava'!H24</f>
        <v>0</v>
      </c>
      <c r="J231" s="618">
        <f>'3 Doprava a přeprava'!I24</f>
        <v>0</v>
      </c>
      <c r="K231" s="618">
        <f>'3 Doprava a přeprava'!J24</f>
        <v>0</v>
      </c>
      <c r="L231" s="618">
        <f>'3 Doprava a přeprava'!K24</f>
        <v>0</v>
      </c>
      <c r="M231" s="618">
        <f>'3 Doprava a přeprava'!L24</f>
        <v>0</v>
      </c>
      <c r="N231" s="618">
        <f>'3 Doprava a přeprava'!M24</f>
        <v>0</v>
      </c>
      <c r="O231" s="618">
        <f>'3 Doprava a přeprava'!N24</f>
        <v>0</v>
      </c>
      <c r="P231" s="618">
        <f>'3 Doprava a přeprava'!O24</f>
        <v>0</v>
      </c>
      <c r="Q231" s="618">
        <f>'3 Doprava a přeprava'!P24</f>
        <v>0</v>
      </c>
      <c r="R231" s="618">
        <f>'3 Doprava a přeprava'!Q24</f>
        <v>0</v>
      </c>
      <c r="S231" s="625">
        <f>'3 Doprava a přeprava'!R24</f>
        <v>0</v>
      </c>
      <c r="T231" s="477"/>
      <c r="U231" s="236"/>
      <c r="V231" s="236"/>
      <c r="W231" s="236"/>
      <c r="X231" s="236"/>
      <c r="Y231" s="236"/>
      <c r="Z231" s="236"/>
      <c r="AA231" s="236"/>
      <c r="AB231" s="236"/>
      <c r="AC231" s="236"/>
    </row>
    <row r="232" spans="1:29" s="289" customFormat="1" ht="12" hidden="1" customHeight="1" x14ac:dyDescent="0.3">
      <c r="A232" s="287"/>
      <c r="B232" s="621" t="str">
        <f t="shared" si="50"/>
        <v>Trolejbus</v>
      </c>
      <c r="C232" s="627">
        <f t="shared" si="50"/>
        <v>0</v>
      </c>
      <c r="D232" s="622">
        <f>SUM(E232:S232,E242:S242)</f>
        <v>0</v>
      </c>
      <c r="E232" s="594">
        <f>'3 Doprava a přeprava'!D25</f>
        <v>0</v>
      </c>
      <c r="F232" s="595">
        <f>'3 Doprava a přeprava'!E25</f>
        <v>0</v>
      </c>
      <c r="G232" s="595">
        <f>'3 Doprava a přeprava'!F25</f>
        <v>0</v>
      </c>
      <c r="H232" s="595">
        <f>'3 Doprava a přeprava'!G25</f>
        <v>0</v>
      </c>
      <c r="I232" s="595">
        <f>'3 Doprava a přeprava'!H25</f>
        <v>0</v>
      </c>
      <c r="J232" s="595">
        <f>'3 Doprava a přeprava'!I25</f>
        <v>0</v>
      </c>
      <c r="K232" s="595">
        <f>'3 Doprava a přeprava'!J25</f>
        <v>0</v>
      </c>
      <c r="L232" s="595">
        <f>'3 Doprava a přeprava'!K25</f>
        <v>0</v>
      </c>
      <c r="M232" s="595">
        <f>'3 Doprava a přeprava'!L25</f>
        <v>0</v>
      </c>
      <c r="N232" s="595">
        <f>'3 Doprava a přeprava'!M25</f>
        <v>0</v>
      </c>
      <c r="O232" s="595">
        <f>'3 Doprava a přeprava'!N25</f>
        <v>0</v>
      </c>
      <c r="P232" s="595">
        <f>'3 Doprava a přeprava'!O25</f>
        <v>0</v>
      </c>
      <c r="Q232" s="595">
        <f>'3 Doprava a přeprava'!P25</f>
        <v>0</v>
      </c>
      <c r="R232" s="595">
        <f>'3 Doprava a přeprava'!Q25</f>
        <v>0</v>
      </c>
      <c r="S232" s="596">
        <f>'3 Doprava a přeprava'!R25</f>
        <v>0</v>
      </c>
      <c r="T232" s="479"/>
      <c r="U232" s="288"/>
      <c r="V232" s="288"/>
      <c r="W232" s="288"/>
      <c r="X232" s="288"/>
      <c r="Y232" s="288"/>
      <c r="Z232" s="288"/>
      <c r="AA232" s="288"/>
      <c r="AB232" s="288"/>
      <c r="AC232" s="288"/>
    </row>
    <row r="233" spans="1:29" ht="12" hidden="1" customHeight="1" x14ac:dyDescent="0.3">
      <c r="A233" s="245"/>
      <c r="B233" s="623" t="str">
        <f t="shared" si="50"/>
        <v>Tramvaj</v>
      </c>
      <c r="C233" s="626">
        <f t="shared" si="50"/>
        <v>0</v>
      </c>
      <c r="D233" s="620">
        <f>SUM(E233:S233,E243:S243)</f>
        <v>0</v>
      </c>
      <c r="E233" s="624">
        <f>'3 Doprava a přeprava'!D26</f>
        <v>0</v>
      </c>
      <c r="F233" s="618">
        <f>'3 Doprava a přeprava'!E26</f>
        <v>0</v>
      </c>
      <c r="G233" s="618">
        <f>'3 Doprava a přeprava'!F26</f>
        <v>0</v>
      </c>
      <c r="H233" s="618">
        <f>'3 Doprava a přeprava'!G26</f>
        <v>0</v>
      </c>
      <c r="I233" s="618">
        <f>'3 Doprava a přeprava'!H26</f>
        <v>0</v>
      </c>
      <c r="J233" s="618">
        <f>'3 Doprava a přeprava'!I26</f>
        <v>0</v>
      </c>
      <c r="K233" s="618">
        <f>'3 Doprava a přeprava'!J26</f>
        <v>0</v>
      </c>
      <c r="L233" s="618">
        <f>'3 Doprava a přeprava'!K26</f>
        <v>0</v>
      </c>
      <c r="M233" s="618">
        <f>'3 Doprava a přeprava'!L26</f>
        <v>0</v>
      </c>
      <c r="N233" s="618">
        <f>'3 Doprava a přeprava'!M26</f>
        <v>0</v>
      </c>
      <c r="O233" s="618">
        <f>'3 Doprava a přeprava'!N26</f>
        <v>0</v>
      </c>
      <c r="P233" s="618">
        <f>'3 Doprava a přeprava'!O26</f>
        <v>0</v>
      </c>
      <c r="Q233" s="618">
        <f>'3 Doprava a přeprava'!P26</f>
        <v>0</v>
      </c>
      <c r="R233" s="618">
        <f>'3 Doprava a přeprava'!Q26</f>
        <v>0</v>
      </c>
      <c r="S233" s="625">
        <f>'3 Doprava a přeprava'!R26</f>
        <v>0</v>
      </c>
      <c r="T233" s="477"/>
      <c r="U233" s="236"/>
      <c r="V233" s="236"/>
      <c r="W233" s="236"/>
      <c r="X233" s="236"/>
      <c r="Y233" s="236"/>
      <c r="Z233" s="236"/>
      <c r="AA233" s="236"/>
      <c r="AB233" s="236"/>
      <c r="AC233" s="236"/>
    </row>
    <row r="234" spans="1:29" s="289" customFormat="1" ht="12" hidden="1" customHeight="1" x14ac:dyDescent="0.3">
      <c r="A234" s="287"/>
      <c r="B234" s="621" t="str">
        <f t="shared" si="50"/>
        <v>Metro</v>
      </c>
      <c r="C234" s="627">
        <f t="shared" si="50"/>
        <v>0</v>
      </c>
      <c r="D234" s="622">
        <f>SUM(E234:S234,E244:S244)</f>
        <v>0</v>
      </c>
      <c r="E234" s="594">
        <f>'3 Doprava a přeprava'!D27</f>
        <v>0</v>
      </c>
      <c r="F234" s="595">
        <f>'3 Doprava a přeprava'!E27</f>
        <v>0</v>
      </c>
      <c r="G234" s="595">
        <f>'3 Doprava a přeprava'!F27</f>
        <v>0</v>
      </c>
      <c r="H234" s="595">
        <f>'3 Doprava a přeprava'!G27</f>
        <v>0</v>
      </c>
      <c r="I234" s="595">
        <f>'3 Doprava a přeprava'!H27</f>
        <v>0</v>
      </c>
      <c r="J234" s="595">
        <f>'3 Doprava a přeprava'!I27</f>
        <v>0</v>
      </c>
      <c r="K234" s="595">
        <f>'3 Doprava a přeprava'!J27</f>
        <v>0</v>
      </c>
      <c r="L234" s="595">
        <f>'3 Doprava a přeprava'!K27</f>
        <v>0</v>
      </c>
      <c r="M234" s="595">
        <f>'3 Doprava a přeprava'!L27</f>
        <v>0</v>
      </c>
      <c r="N234" s="595">
        <f>'3 Doprava a přeprava'!M27</f>
        <v>0</v>
      </c>
      <c r="O234" s="595">
        <f>'3 Doprava a přeprava'!N27</f>
        <v>0</v>
      </c>
      <c r="P234" s="595">
        <f>'3 Doprava a přeprava'!O27</f>
        <v>0</v>
      </c>
      <c r="Q234" s="595">
        <f>'3 Doprava a přeprava'!P27</f>
        <v>0</v>
      </c>
      <c r="R234" s="595">
        <f>'3 Doprava a přeprava'!Q27</f>
        <v>0</v>
      </c>
      <c r="S234" s="596">
        <f>'3 Doprava a přeprava'!R27</f>
        <v>0</v>
      </c>
      <c r="T234" s="479"/>
      <c r="U234" s="288"/>
      <c r="V234" s="288"/>
      <c r="W234" s="288"/>
      <c r="X234" s="288"/>
      <c r="Y234" s="288"/>
      <c r="Z234" s="288"/>
      <c r="AA234" s="288"/>
      <c r="AB234" s="288"/>
      <c r="AC234" s="288"/>
    </row>
    <row r="235" spans="1:29" s="289" customFormat="1" ht="12" hidden="1" customHeight="1" x14ac:dyDescent="0.3">
      <c r="A235" s="287"/>
      <c r="B235" s="623" t="str">
        <f t="shared" si="50"/>
        <v>IAD</v>
      </c>
      <c r="C235" s="626">
        <f t="shared" si="50"/>
        <v>0</v>
      </c>
      <c r="D235" s="620">
        <f>SUM(E235:S235,E245:S245)</f>
        <v>0</v>
      </c>
      <c r="E235" s="624">
        <f>'3 Doprava a přeprava'!D28</f>
        <v>0</v>
      </c>
      <c r="F235" s="618">
        <f>'3 Doprava a přeprava'!E28</f>
        <v>0</v>
      </c>
      <c r="G235" s="618">
        <f>'3 Doprava a přeprava'!F28</f>
        <v>0</v>
      </c>
      <c r="H235" s="618">
        <f>'3 Doprava a přeprava'!G28</f>
        <v>0</v>
      </c>
      <c r="I235" s="618">
        <f>'3 Doprava a přeprava'!H28</f>
        <v>0</v>
      </c>
      <c r="J235" s="618">
        <f>'3 Doprava a přeprava'!I28</f>
        <v>0</v>
      </c>
      <c r="K235" s="618">
        <f>'3 Doprava a přeprava'!J28</f>
        <v>0</v>
      </c>
      <c r="L235" s="618">
        <f>'3 Doprava a přeprava'!K28</f>
        <v>0</v>
      </c>
      <c r="M235" s="618">
        <f>'3 Doprava a přeprava'!L28</f>
        <v>0</v>
      </c>
      <c r="N235" s="618">
        <f>'3 Doprava a přeprava'!M28</f>
        <v>0</v>
      </c>
      <c r="O235" s="618">
        <f>'3 Doprava a přeprava'!N28</f>
        <v>0</v>
      </c>
      <c r="P235" s="618">
        <f>'3 Doprava a přeprava'!O28</f>
        <v>0</v>
      </c>
      <c r="Q235" s="618">
        <f>'3 Doprava a přeprava'!P28</f>
        <v>0</v>
      </c>
      <c r="R235" s="618">
        <f>'3 Doprava a přeprava'!Q28</f>
        <v>0</v>
      </c>
      <c r="S235" s="625">
        <f>'3 Doprava a přeprava'!R28</f>
        <v>0</v>
      </c>
      <c r="T235" s="479"/>
      <c r="U235" s="288"/>
      <c r="V235" s="288"/>
      <c r="W235" s="288"/>
      <c r="X235" s="288"/>
      <c r="Y235" s="288"/>
      <c r="Z235" s="288"/>
      <c r="AA235" s="288"/>
      <c r="AB235" s="288"/>
      <c r="AC235" s="288"/>
    </row>
    <row r="236" spans="1:29" s="289" customFormat="1" ht="12" hidden="1" customHeight="1" x14ac:dyDescent="0.3">
      <c r="A236" s="287"/>
      <c r="B236" s="608" t="str">
        <f>B226</f>
        <v>bez rozlišení</v>
      </c>
      <c r="C236" s="607"/>
      <c r="D236" s="622"/>
      <c r="E236" s="594">
        <v>1</v>
      </c>
      <c r="F236" s="595">
        <v>1</v>
      </c>
      <c r="G236" s="595">
        <v>1</v>
      </c>
      <c r="H236" s="595">
        <v>1</v>
      </c>
      <c r="I236" s="595">
        <v>1</v>
      </c>
      <c r="J236" s="595">
        <v>1</v>
      </c>
      <c r="K236" s="595">
        <v>1</v>
      </c>
      <c r="L236" s="595">
        <v>1</v>
      </c>
      <c r="M236" s="595">
        <v>1</v>
      </c>
      <c r="N236" s="595">
        <v>1</v>
      </c>
      <c r="O236" s="595">
        <v>1</v>
      </c>
      <c r="P236" s="595">
        <v>1</v>
      </c>
      <c r="Q236" s="595">
        <v>1</v>
      </c>
      <c r="R236" s="595">
        <v>1</v>
      </c>
      <c r="S236" s="596">
        <v>1</v>
      </c>
      <c r="T236" s="288"/>
      <c r="U236" s="288"/>
      <c r="V236" s="288"/>
      <c r="W236" s="288"/>
      <c r="X236" s="288"/>
      <c r="Y236" s="288"/>
      <c r="Z236" s="288"/>
      <c r="AA236" s="288"/>
      <c r="AB236" s="288"/>
      <c r="AC236" s="288"/>
    </row>
    <row r="237" spans="1:29" ht="12.75" hidden="1" customHeight="1" thickBot="1" x14ac:dyDescent="0.35">
      <c r="A237" s="245"/>
      <c r="B237" s="244"/>
      <c r="C237" s="243">
        <f>C227</f>
        <v>0</v>
      </c>
      <c r="D237" s="273"/>
      <c r="E237" s="483"/>
      <c r="F237" s="484"/>
      <c r="G237" s="484"/>
      <c r="H237" s="484"/>
      <c r="I237" s="484"/>
      <c r="J237" s="484"/>
      <c r="K237" s="484"/>
      <c r="L237" s="484"/>
      <c r="M237" s="484"/>
      <c r="N237" s="484"/>
      <c r="O237" s="484"/>
      <c r="P237" s="484"/>
      <c r="Q237" s="484"/>
      <c r="R237" s="484"/>
      <c r="S237" s="485"/>
      <c r="T237" s="237"/>
      <c r="U237" s="237"/>
      <c r="V237" s="237"/>
      <c r="W237" s="237"/>
      <c r="X237" s="237"/>
      <c r="Y237" s="237"/>
      <c r="Z237" s="237"/>
      <c r="AA237" s="237"/>
      <c r="AB237" s="237"/>
      <c r="AC237" s="237"/>
    </row>
    <row r="238" spans="1:29" ht="12.75" hidden="1" customHeight="1" thickBot="1" x14ac:dyDescent="0.35">
      <c r="A238" s="245"/>
      <c r="B238" s="249"/>
      <c r="C238" s="245"/>
      <c r="D238" s="236"/>
      <c r="E238" s="236"/>
      <c r="F238" s="236"/>
      <c r="G238" s="236"/>
      <c r="H238" s="236"/>
      <c r="I238" s="236"/>
      <c r="J238" s="236"/>
      <c r="K238" s="236"/>
      <c r="L238" s="236"/>
      <c r="M238" s="236"/>
      <c r="N238" s="236"/>
      <c r="O238" s="236"/>
      <c r="P238" s="236"/>
      <c r="Q238" s="236"/>
      <c r="R238" s="236"/>
      <c r="S238" s="236"/>
      <c r="T238" s="236"/>
      <c r="U238" s="236"/>
      <c r="V238" s="236"/>
      <c r="W238" s="236"/>
      <c r="X238" s="236"/>
      <c r="Y238" s="236"/>
      <c r="Z238" s="236"/>
      <c r="AA238" s="236"/>
      <c r="AB238" s="236"/>
      <c r="AC238" s="236"/>
    </row>
    <row r="239" spans="1:29" ht="12.75" hidden="1" customHeight="1" x14ac:dyDescent="0.3">
      <c r="A239" s="245"/>
      <c r="B239" s="291">
        <f>B229</f>
        <v>0</v>
      </c>
      <c r="C239" s="292" t="str">
        <f>C229</f>
        <v>vozové km</v>
      </c>
      <c r="D239" s="296"/>
      <c r="E239" s="2119">
        <f>S229+1</f>
        <v>2041</v>
      </c>
      <c r="F239" s="2121">
        <f t="shared" ref="F239:S239" si="51">E239+1</f>
        <v>2042</v>
      </c>
      <c r="G239" s="2121">
        <f t="shared" si="51"/>
        <v>2043</v>
      </c>
      <c r="H239" s="2121">
        <f t="shared" si="51"/>
        <v>2044</v>
      </c>
      <c r="I239" s="2121">
        <f t="shared" si="51"/>
        <v>2045</v>
      </c>
      <c r="J239" s="2121">
        <f t="shared" si="51"/>
        <v>2046</v>
      </c>
      <c r="K239" s="2121">
        <f t="shared" si="51"/>
        <v>2047</v>
      </c>
      <c r="L239" s="2121">
        <f t="shared" si="51"/>
        <v>2048</v>
      </c>
      <c r="M239" s="2121">
        <f t="shared" si="51"/>
        <v>2049</v>
      </c>
      <c r="N239" s="2121">
        <f t="shared" si="51"/>
        <v>2050</v>
      </c>
      <c r="O239" s="2121">
        <f t="shared" si="51"/>
        <v>2051</v>
      </c>
      <c r="P239" s="2121">
        <f t="shared" si="51"/>
        <v>2052</v>
      </c>
      <c r="Q239" s="2121">
        <f t="shared" si="51"/>
        <v>2053</v>
      </c>
      <c r="R239" s="2121">
        <f t="shared" si="51"/>
        <v>2054</v>
      </c>
      <c r="S239" s="2123">
        <f t="shared" si="51"/>
        <v>2055</v>
      </c>
      <c r="T239" s="247"/>
      <c r="U239" s="247"/>
      <c r="V239" s="247"/>
      <c r="W239" s="247"/>
      <c r="X239" s="247"/>
      <c r="Y239" s="247"/>
      <c r="Z239" s="247"/>
      <c r="AA239" s="247"/>
      <c r="AB239" s="247"/>
      <c r="AC239" s="247"/>
    </row>
    <row r="240" spans="1:29" ht="12.75" hidden="1" customHeight="1" thickBot="1" x14ac:dyDescent="0.35">
      <c r="A240" s="245"/>
      <c r="B240" s="294" t="s">
        <v>5</v>
      </c>
      <c r="C240" s="546" t="str">
        <f t="shared" ref="C240:C245" si="52">C230</f>
        <v>Scénář bez projektu</v>
      </c>
      <c r="D240" s="547"/>
      <c r="E240" s="2120">
        <f>S230+1</f>
        <v>1</v>
      </c>
      <c r="F240" s="2122"/>
      <c r="G240" s="2122"/>
      <c r="H240" s="2122"/>
      <c r="I240" s="2122"/>
      <c r="J240" s="2122"/>
      <c r="K240" s="2122"/>
      <c r="L240" s="2122"/>
      <c r="M240" s="2122"/>
      <c r="N240" s="2122"/>
      <c r="O240" s="2122"/>
      <c r="P240" s="2122"/>
      <c r="Q240" s="2122"/>
      <c r="R240" s="2122"/>
      <c r="S240" s="2124"/>
      <c r="T240" s="247"/>
      <c r="U240" s="247"/>
      <c r="V240" s="247"/>
      <c r="W240" s="247"/>
      <c r="X240" s="247"/>
      <c r="Y240" s="247"/>
      <c r="Z240" s="247"/>
      <c r="AA240" s="247"/>
      <c r="AB240" s="247"/>
      <c r="AC240" s="247"/>
    </row>
    <row r="241" spans="1:29" ht="12.75" hidden="1" customHeight="1" x14ac:dyDescent="0.3">
      <c r="A241" s="245"/>
      <c r="B241" s="619" t="str">
        <f t="shared" ref="B241:B246" si="53">B231</f>
        <v>BUS</v>
      </c>
      <c r="C241" s="626">
        <f t="shared" si="52"/>
        <v>0</v>
      </c>
      <c r="D241" s="620"/>
      <c r="E241" s="624">
        <f>'3 Doprava a přeprava'!D33</f>
        <v>0</v>
      </c>
      <c r="F241" s="618">
        <f>'3 Doprava a přeprava'!E33</f>
        <v>0</v>
      </c>
      <c r="G241" s="618">
        <f>'3 Doprava a přeprava'!F33</f>
        <v>0</v>
      </c>
      <c r="H241" s="618">
        <f>'3 Doprava a přeprava'!G33</f>
        <v>0</v>
      </c>
      <c r="I241" s="618">
        <f>'3 Doprava a přeprava'!H33</f>
        <v>0</v>
      </c>
      <c r="J241" s="618">
        <f>'3 Doprava a přeprava'!I33</f>
        <v>0</v>
      </c>
      <c r="K241" s="618">
        <f>'3 Doprava a přeprava'!J33</f>
        <v>0</v>
      </c>
      <c r="L241" s="618">
        <f>'3 Doprava a přeprava'!K33</f>
        <v>0</v>
      </c>
      <c r="M241" s="618">
        <f>'3 Doprava a přeprava'!L33</f>
        <v>0</v>
      </c>
      <c r="N241" s="618">
        <f>'3 Doprava a přeprava'!M33</f>
        <v>0</v>
      </c>
      <c r="O241" s="618">
        <f>'3 Doprava a přeprava'!N33</f>
        <v>0</v>
      </c>
      <c r="P241" s="618">
        <f>'3 Doprava a přeprava'!O33</f>
        <v>0</v>
      </c>
      <c r="Q241" s="618">
        <f>'3 Doprava a přeprava'!P33</f>
        <v>0</v>
      </c>
      <c r="R241" s="618">
        <f>'3 Doprava a přeprava'!Q33</f>
        <v>0</v>
      </c>
      <c r="S241" s="625">
        <f>'3 Doprava a přeprava'!R33</f>
        <v>0</v>
      </c>
      <c r="T241" s="477"/>
      <c r="U241" s="236"/>
      <c r="V241" s="236"/>
      <c r="W241" s="236"/>
      <c r="X241" s="236"/>
      <c r="Y241" s="236"/>
      <c r="Z241" s="236"/>
      <c r="AA241" s="236"/>
      <c r="AB241" s="236"/>
      <c r="AC241" s="236"/>
    </row>
    <row r="242" spans="1:29" s="289" customFormat="1" ht="12.75" hidden="1" customHeight="1" x14ac:dyDescent="0.3">
      <c r="A242" s="287"/>
      <c r="B242" s="621" t="str">
        <f t="shared" si="53"/>
        <v>Trolejbus</v>
      </c>
      <c r="C242" s="627">
        <f t="shared" si="52"/>
        <v>0</v>
      </c>
      <c r="D242" s="622"/>
      <c r="E242" s="594">
        <f>'3 Doprava a přeprava'!D34</f>
        <v>0</v>
      </c>
      <c r="F242" s="595">
        <f>'3 Doprava a přeprava'!E34</f>
        <v>0</v>
      </c>
      <c r="G242" s="595">
        <f>'3 Doprava a přeprava'!F34</f>
        <v>0</v>
      </c>
      <c r="H242" s="595">
        <f>'3 Doprava a přeprava'!G34</f>
        <v>0</v>
      </c>
      <c r="I242" s="595">
        <f>'3 Doprava a přeprava'!H34</f>
        <v>0</v>
      </c>
      <c r="J242" s="595">
        <f>'3 Doprava a přeprava'!I34</f>
        <v>0</v>
      </c>
      <c r="K242" s="595">
        <f>'3 Doprava a přeprava'!J34</f>
        <v>0</v>
      </c>
      <c r="L242" s="595">
        <f>'3 Doprava a přeprava'!K34</f>
        <v>0</v>
      </c>
      <c r="M242" s="595">
        <f>'3 Doprava a přeprava'!L34</f>
        <v>0</v>
      </c>
      <c r="N242" s="595">
        <f>'3 Doprava a přeprava'!M34</f>
        <v>0</v>
      </c>
      <c r="O242" s="595">
        <f>'3 Doprava a přeprava'!N34</f>
        <v>0</v>
      </c>
      <c r="P242" s="595">
        <f>'3 Doprava a přeprava'!O34</f>
        <v>0</v>
      </c>
      <c r="Q242" s="595">
        <f>'3 Doprava a přeprava'!P34</f>
        <v>0</v>
      </c>
      <c r="R242" s="595">
        <f>'3 Doprava a přeprava'!Q34</f>
        <v>0</v>
      </c>
      <c r="S242" s="596">
        <f>'3 Doprava a přeprava'!R34</f>
        <v>0</v>
      </c>
      <c r="T242" s="479"/>
      <c r="U242" s="288"/>
      <c r="V242" s="288"/>
      <c r="W242" s="288"/>
      <c r="X242" s="288"/>
      <c r="Y242" s="288"/>
      <c r="Z242" s="288"/>
      <c r="AA242" s="288"/>
      <c r="AB242" s="288"/>
      <c r="AC242" s="288"/>
    </row>
    <row r="243" spans="1:29" ht="12.75" hidden="1" customHeight="1" x14ac:dyDescent="0.3">
      <c r="A243" s="245"/>
      <c r="B243" s="623" t="str">
        <f t="shared" si="53"/>
        <v>Tramvaj</v>
      </c>
      <c r="C243" s="626">
        <f t="shared" si="52"/>
        <v>0</v>
      </c>
      <c r="D243" s="620"/>
      <c r="E243" s="624">
        <f>'3 Doprava a přeprava'!D35</f>
        <v>0</v>
      </c>
      <c r="F243" s="618">
        <f>'3 Doprava a přeprava'!E35</f>
        <v>0</v>
      </c>
      <c r="G243" s="618">
        <f>'3 Doprava a přeprava'!F35</f>
        <v>0</v>
      </c>
      <c r="H243" s="618">
        <f>'3 Doprava a přeprava'!G35</f>
        <v>0</v>
      </c>
      <c r="I243" s="618">
        <f>'3 Doprava a přeprava'!H35</f>
        <v>0</v>
      </c>
      <c r="J243" s="618">
        <f>'3 Doprava a přeprava'!I35</f>
        <v>0</v>
      </c>
      <c r="K243" s="618">
        <f>'3 Doprava a přeprava'!J35</f>
        <v>0</v>
      </c>
      <c r="L243" s="618">
        <f>'3 Doprava a přeprava'!K35</f>
        <v>0</v>
      </c>
      <c r="M243" s="618">
        <f>'3 Doprava a přeprava'!L35</f>
        <v>0</v>
      </c>
      <c r="N243" s="618">
        <f>'3 Doprava a přeprava'!M35</f>
        <v>0</v>
      </c>
      <c r="O243" s="618">
        <f>'3 Doprava a přeprava'!N35</f>
        <v>0</v>
      </c>
      <c r="P243" s="618">
        <f>'3 Doprava a přeprava'!O35</f>
        <v>0</v>
      </c>
      <c r="Q243" s="618">
        <f>'3 Doprava a přeprava'!P35</f>
        <v>0</v>
      </c>
      <c r="R243" s="618">
        <f>'3 Doprava a přeprava'!Q35</f>
        <v>0</v>
      </c>
      <c r="S243" s="625">
        <f>'3 Doprava a přeprava'!R35</f>
        <v>0</v>
      </c>
      <c r="T243" s="477"/>
      <c r="U243" s="236"/>
      <c r="V243" s="236"/>
      <c r="W243" s="236"/>
      <c r="X243" s="236"/>
      <c r="Y243" s="236"/>
      <c r="Z243" s="236"/>
      <c r="AA243" s="236"/>
      <c r="AB243" s="236"/>
      <c r="AC243" s="236"/>
    </row>
    <row r="244" spans="1:29" s="289" customFormat="1" ht="12.75" hidden="1" customHeight="1" x14ac:dyDescent="0.3">
      <c r="A244" s="287"/>
      <c r="B244" s="621" t="str">
        <f t="shared" si="53"/>
        <v>Metro</v>
      </c>
      <c r="C244" s="627">
        <f t="shared" si="52"/>
        <v>0</v>
      </c>
      <c r="D244" s="622"/>
      <c r="E244" s="594">
        <f>'3 Doprava a přeprava'!D36</f>
        <v>0</v>
      </c>
      <c r="F244" s="595">
        <f>'3 Doprava a přeprava'!E36</f>
        <v>0</v>
      </c>
      <c r="G244" s="595">
        <f>'3 Doprava a přeprava'!F36</f>
        <v>0</v>
      </c>
      <c r="H244" s="595">
        <f>'3 Doprava a přeprava'!G36</f>
        <v>0</v>
      </c>
      <c r="I244" s="595">
        <f>'3 Doprava a přeprava'!H36</f>
        <v>0</v>
      </c>
      <c r="J244" s="595">
        <f>'3 Doprava a přeprava'!I36</f>
        <v>0</v>
      </c>
      <c r="K244" s="595">
        <f>'3 Doprava a přeprava'!J36</f>
        <v>0</v>
      </c>
      <c r="L244" s="595">
        <f>'3 Doprava a přeprava'!K36</f>
        <v>0</v>
      </c>
      <c r="M244" s="595">
        <f>'3 Doprava a přeprava'!L36</f>
        <v>0</v>
      </c>
      <c r="N244" s="595">
        <f>'3 Doprava a přeprava'!M36</f>
        <v>0</v>
      </c>
      <c r="O244" s="595">
        <f>'3 Doprava a přeprava'!N36</f>
        <v>0</v>
      </c>
      <c r="P244" s="595">
        <f>'3 Doprava a přeprava'!O36</f>
        <v>0</v>
      </c>
      <c r="Q244" s="595">
        <f>'3 Doprava a přeprava'!P36</f>
        <v>0</v>
      </c>
      <c r="R244" s="595">
        <f>'3 Doprava a přeprava'!Q36</f>
        <v>0</v>
      </c>
      <c r="S244" s="596">
        <f>'3 Doprava a přeprava'!R36</f>
        <v>0</v>
      </c>
      <c r="T244" s="479"/>
      <c r="U244" s="288"/>
      <c r="V244" s="288"/>
      <c r="W244" s="288"/>
      <c r="X244" s="288"/>
      <c r="Y244" s="288"/>
      <c r="Z244" s="288"/>
      <c r="AA244" s="288"/>
      <c r="AB244" s="288"/>
      <c r="AC244" s="288"/>
    </row>
    <row r="245" spans="1:29" s="289" customFormat="1" ht="12.75" hidden="1" customHeight="1" x14ac:dyDescent="0.3">
      <c r="A245" s="287"/>
      <c r="B245" s="623" t="str">
        <f t="shared" si="53"/>
        <v>IAD</v>
      </c>
      <c r="C245" s="626">
        <f t="shared" si="52"/>
        <v>0</v>
      </c>
      <c r="D245" s="620"/>
      <c r="E245" s="624">
        <f>'3 Doprava a přeprava'!D37</f>
        <v>0</v>
      </c>
      <c r="F245" s="618">
        <f>'3 Doprava a přeprava'!E37</f>
        <v>0</v>
      </c>
      <c r="G245" s="618">
        <f>'3 Doprava a přeprava'!F37</f>
        <v>0</v>
      </c>
      <c r="H245" s="618">
        <f>'3 Doprava a přeprava'!G37</f>
        <v>0</v>
      </c>
      <c r="I245" s="618">
        <f>'3 Doprava a přeprava'!H37</f>
        <v>0</v>
      </c>
      <c r="J245" s="618">
        <f>'3 Doprava a přeprava'!I37</f>
        <v>0</v>
      </c>
      <c r="K245" s="618">
        <f>'3 Doprava a přeprava'!J37</f>
        <v>0</v>
      </c>
      <c r="L245" s="618">
        <f>'3 Doprava a přeprava'!K37</f>
        <v>0</v>
      </c>
      <c r="M245" s="618">
        <f>'3 Doprava a přeprava'!L37</f>
        <v>0</v>
      </c>
      <c r="N245" s="618">
        <f>'3 Doprava a přeprava'!M37</f>
        <v>0</v>
      </c>
      <c r="O245" s="618">
        <f>'3 Doprava a přeprava'!N37</f>
        <v>0</v>
      </c>
      <c r="P245" s="618">
        <f>'3 Doprava a přeprava'!O37</f>
        <v>0</v>
      </c>
      <c r="Q245" s="618">
        <f>'3 Doprava a přeprava'!P37</f>
        <v>0</v>
      </c>
      <c r="R245" s="618">
        <f>'3 Doprava a přeprava'!Q37</f>
        <v>0</v>
      </c>
      <c r="S245" s="625">
        <f>'3 Doprava a přeprava'!R37</f>
        <v>0</v>
      </c>
      <c r="T245" s="479"/>
      <c r="U245" s="288"/>
      <c r="V245" s="288"/>
      <c r="W245" s="288"/>
      <c r="X245" s="288"/>
      <c r="Y245" s="288"/>
      <c r="Z245" s="288"/>
      <c r="AA245" s="288"/>
      <c r="AB245" s="288"/>
      <c r="AC245" s="288"/>
    </row>
    <row r="246" spans="1:29" s="289" customFormat="1" ht="12.75" hidden="1" customHeight="1" x14ac:dyDescent="0.3">
      <c r="A246" s="287"/>
      <c r="B246" s="608" t="str">
        <f t="shared" si="53"/>
        <v>bez rozlišení</v>
      </c>
      <c r="C246" s="607"/>
      <c r="D246" s="622"/>
      <c r="E246" s="594">
        <v>1</v>
      </c>
      <c r="F246" s="595">
        <v>1</v>
      </c>
      <c r="G246" s="595">
        <v>1</v>
      </c>
      <c r="H246" s="595">
        <v>1</v>
      </c>
      <c r="I246" s="595">
        <v>1</v>
      </c>
      <c r="J246" s="595">
        <v>1</v>
      </c>
      <c r="K246" s="595">
        <v>1</v>
      </c>
      <c r="L246" s="595">
        <v>1</v>
      </c>
      <c r="M246" s="595">
        <v>1</v>
      </c>
      <c r="N246" s="595">
        <v>1</v>
      </c>
      <c r="O246" s="595">
        <v>1</v>
      </c>
      <c r="P246" s="595">
        <v>1</v>
      </c>
      <c r="Q246" s="595">
        <v>1</v>
      </c>
      <c r="R246" s="595">
        <v>1</v>
      </c>
      <c r="S246" s="596">
        <v>1</v>
      </c>
      <c r="T246" s="288"/>
      <c r="U246" s="288"/>
      <c r="V246" s="288"/>
      <c r="W246" s="288"/>
      <c r="X246" s="288"/>
      <c r="Y246" s="288"/>
      <c r="Z246" s="288"/>
      <c r="AA246" s="288"/>
      <c r="AB246" s="288"/>
      <c r="AC246" s="288"/>
    </row>
    <row r="247" spans="1:29" ht="12.75" hidden="1" customHeight="1" thickBot="1" x14ac:dyDescent="0.35">
      <c r="A247" s="252"/>
      <c r="B247" s="242"/>
      <c r="C247" s="243">
        <f>C237</f>
        <v>0</v>
      </c>
      <c r="D247" s="548"/>
      <c r="E247" s="483"/>
      <c r="F247" s="484"/>
      <c r="G247" s="484"/>
      <c r="H247" s="484"/>
      <c r="I247" s="484"/>
      <c r="J247" s="484"/>
      <c r="K247" s="484"/>
      <c r="L247" s="484"/>
      <c r="M247" s="484"/>
      <c r="N247" s="484"/>
      <c r="O247" s="484"/>
      <c r="P247" s="484"/>
      <c r="Q247" s="484"/>
      <c r="R247" s="484"/>
      <c r="S247" s="485"/>
      <c r="T247" s="237"/>
      <c r="U247" s="237"/>
      <c r="V247" s="237"/>
      <c r="W247" s="237"/>
      <c r="X247" s="237"/>
      <c r="Y247" s="237"/>
      <c r="Z247" s="237"/>
      <c r="AA247" s="237"/>
      <c r="AB247" s="237"/>
      <c r="AC247" s="237"/>
    </row>
    <row r="248" spans="1:29" ht="12.75" hidden="1" customHeight="1" x14ac:dyDescent="0.3">
      <c r="A248" s="252"/>
      <c r="B248" s="609"/>
      <c r="C248" s="610"/>
      <c r="D248" s="611"/>
      <c r="E248" s="612"/>
      <c r="F248" s="612"/>
      <c r="G248" s="612"/>
      <c r="H248" s="612"/>
      <c r="I248" s="612"/>
      <c r="J248" s="612"/>
      <c r="K248" s="612"/>
      <c r="L248" s="612"/>
      <c r="M248" s="612"/>
      <c r="N248" s="612"/>
      <c r="O248" s="612"/>
      <c r="P248" s="612"/>
      <c r="Q248" s="612"/>
      <c r="R248" s="612"/>
      <c r="S248" s="612"/>
      <c r="T248" s="237"/>
      <c r="U248" s="237"/>
      <c r="V248" s="237"/>
      <c r="W248" s="237"/>
      <c r="X248" s="237"/>
      <c r="Y248" s="237"/>
      <c r="Z248" s="237"/>
      <c r="AA248" s="237"/>
      <c r="AB248" s="237"/>
      <c r="AC248" s="237"/>
    </row>
  </sheetData>
  <sheetProtection algorithmName="SHA-512" hashValue="LC2EIcHCU8LM2rkzyac5VORDlPTC4GXldArIkqYCWSPcRGU9C5auZBben2bdlboCmMqarWJ/9WZ7102SLSSxRA==" saltValue="dssgFr/aXAQTN6ktVm8uZA==" spinCount="100000" sheet="1" objects="1" scenarios="1"/>
  <mergeCells count="274">
    <mergeCell ref="R32:R33"/>
    <mergeCell ref="S32:S33"/>
    <mergeCell ref="S22:S23"/>
    <mergeCell ref="E32:E33"/>
    <mergeCell ref="F32:F33"/>
    <mergeCell ref="G32:G33"/>
    <mergeCell ref="H32:H33"/>
    <mergeCell ref="I32:I33"/>
    <mergeCell ref="J32:J33"/>
    <mergeCell ref="K32:K33"/>
    <mergeCell ref="L32:L33"/>
    <mergeCell ref="M32:M33"/>
    <mergeCell ref="M22:M23"/>
    <mergeCell ref="N22:N23"/>
    <mergeCell ref="O22:O23"/>
    <mergeCell ref="P22:P23"/>
    <mergeCell ref="Q22:Q23"/>
    <mergeCell ref="R22:R23"/>
    <mergeCell ref="E22:E23"/>
    <mergeCell ref="F22:F23"/>
    <mergeCell ref="G22:G23"/>
    <mergeCell ref="H22:H23"/>
    <mergeCell ref="I22:I23"/>
    <mergeCell ref="J22:J23"/>
    <mergeCell ref="K22:K23"/>
    <mergeCell ref="L22:L23"/>
    <mergeCell ref="L12:L13"/>
    <mergeCell ref="E12:E13"/>
    <mergeCell ref="F12:F13"/>
    <mergeCell ref="G12:G13"/>
    <mergeCell ref="H12:H13"/>
    <mergeCell ref="I12:I13"/>
    <mergeCell ref="J12:J13"/>
    <mergeCell ref="K12:K13"/>
    <mergeCell ref="K2:K3"/>
    <mergeCell ref="L2:L3"/>
    <mergeCell ref="E2:E3"/>
    <mergeCell ref="F2:F3"/>
    <mergeCell ref="G2:G3"/>
    <mergeCell ref="H2:H3"/>
    <mergeCell ref="I2:I3"/>
    <mergeCell ref="J2:J3"/>
    <mergeCell ref="F239:F240"/>
    <mergeCell ref="G239:G240"/>
    <mergeCell ref="H239:H240"/>
    <mergeCell ref="I239:I240"/>
    <mergeCell ref="J239:J240"/>
    <mergeCell ref="K239:K240"/>
    <mergeCell ref="E193:E194"/>
    <mergeCell ref="F193:F194"/>
    <mergeCell ref="G193:G194"/>
    <mergeCell ref="H193:H194"/>
    <mergeCell ref="I193:I194"/>
    <mergeCell ref="J193:J194"/>
    <mergeCell ref="K193:K194"/>
    <mergeCell ref="K188:K189"/>
    <mergeCell ref="L188:L189"/>
    <mergeCell ref="D103:J103"/>
    <mergeCell ref="Q2:Q3"/>
    <mergeCell ref="R2:R3"/>
    <mergeCell ref="S2:S3"/>
    <mergeCell ref="M2:M3"/>
    <mergeCell ref="N2:N3"/>
    <mergeCell ref="O2:O3"/>
    <mergeCell ref="P2:P3"/>
    <mergeCell ref="R12:R13"/>
    <mergeCell ref="S12:S13"/>
    <mergeCell ref="M12:M13"/>
    <mergeCell ref="N12:N13"/>
    <mergeCell ref="O12:O13"/>
    <mergeCell ref="P12:P13"/>
    <mergeCell ref="Q12:Q13"/>
    <mergeCell ref="F229:F230"/>
    <mergeCell ref="G229:G230"/>
    <mergeCell ref="N32:N33"/>
    <mergeCell ref="O32:O33"/>
    <mergeCell ref="P32:P33"/>
    <mergeCell ref="Q32:Q33"/>
    <mergeCell ref="E239:E240"/>
    <mergeCell ref="N229:N230"/>
    <mergeCell ref="O229:O230"/>
    <mergeCell ref="P229:P230"/>
    <mergeCell ref="Q229:Q230"/>
    <mergeCell ref="B199:S200"/>
    <mergeCell ref="E209:E210"/>
    <mergeCell ref="F209:F210"/>
    <mergeCell ref="G209:G210"/>
    <mergeCell ref="H209:H210"/>
    <mergeCell ref="I209:I210"/>
    <mergeCell ref="J209:J210"/>
    <mergeCell ref="K209:K210"/>
    <mergeCell ref="L193:L194"/>
    <mergeCell ref="M193:M194"/>
    <mergeCell ref="N193:N194"/>
    <mergeCell ref="O193:O194"/>
    <mergeCell ref="P193:P194"/>
    <mergeCell ref="R239:R240"/>
    <mergeCell ref="S239:S240"/>
    <mergeCell ref="L239:L240"/>
    <mergeCell ref="M239:M240"/>
    <mergeCell ref="N239:N240"/>
    <mergeCell ref="O239:O240"/>
    <mergeCell ref="P239:P240"/>
    <mergeCell ref="Q239:Q240"/>
    <mergeCell ref="E219:E220"/>
    <mergeCell ref="F219:F220"/>
    <mergeCell ref="G219:G220"/>
    <mergeCell ref="H219:H220"/>
    <mergeCell ref="I219:I220"/>
    <mergeCell ref="J219:J220"/>
    <mergeCell ref="K219:K220"/>
    <mergeCell ref="R229:R230"/>
    <mergeCell ref="S229:S230"/>
    <mergeCell ref="H229:H230"/>
    <mergeCell ref="I229:I230"/>
    <mergeCell ref="J229:J230"/>
    <mergeCell ref="K229:K230"/>
    <mergeCell ref="L229:L230"/>
    <mergeCell ref="M229:M230"/>
    <mergeCell ref="E229:E230"/>
    <mergeCell ref="R209:R210"/>
    <mergeCell ref="S209:S210"/>
    <mergeCell ref="L209:L210"/>
    <mergeCell ref="M209:M210"/>
    <mergeCell ref="N209:N210"/>
    <mergeCell ref="O209:O210"/>
    <mergeCell ref="P209:P210"/>
    <mergeCell ref="Q209:Q210"/>
    <mergeCell ref="P219:P220"/>
    <mergeCell ref="Q219:Q220"/>
    <mergeCell ref="R219:R220"/>
    <mergeCell ref="S219:S220"/>
    <mergeCell ref="L219:L220"/>
    <mergeCell ref="M219:M220"/>
    <mergeCell ref="N219:N220"/>
    <mergeCell ref="O219:O220"/>
    <mergeCell ref="R193:R194"/>
    <mergeCell ref="S193:S194"/>
    <mergeCell ref="C150:C151"/>
    <mergeCell ref="C152:D152"/>
    <mergeCell ref="C153:D153"/>
    <mergeCell ref="C118:R118"/>
    <mergeCell ref="D120:R120"/>
    <mergeCell ref="D123:R123"/>
    <mergeCell ref="D126:R126"/>
    <mergeCell ref="D129:R129"/>
    <mergeCell ref="Q188:Q189"/>
    <mergeCell ref="R188:R189"/>
    <mergeCell ref="M188:M189"/>
    <mergeCell ref="N188:N189"/>
    <mergeCell ref="O188:O189"/>
    <mergeCell ref="P188:P189"/>
    <mergeCell ref="E188:E189"/>
    <mergeCell ref="F188:F189"/>
    <mergeCell ref="G188:G189"/>
    <mergeCell ref="H188:H189"/>
    <mergeCell ref="I188:I189"/>
    <mergeCell ref="J188:J189"/>
    <mergeCell ref="Q193:Q194"/>
    <mergeCell ref="S188:S189"/>
    <mergeCell ref="E87:E88"/>
    <mergeCell ref="D104:D106"/>
    <mergeCell ref="E104:E106"/>
    <mergeCell ref="F104:F106"/>
    <mergeCell ref="G104:G106"/>
    <mergeCell ref="J104:J106"/>
    <mergeCell ref="C145:C146"/>
    <mergeCell ref="C147:I147"/>
    <mergeCell ref="C148:C149"/>
    <mergeCell ref="F87:F88"/>
    <mergeCell ref="G87:G88"/>
    <mergeCell ref="H87:H88"/>
    <mergeCell ref="I87:I88"/>
    <mergeCell ref="J87:J88"/>
    <mergeCell ref="B134:B153"/>
    <mergeCell ref="C134:I134"/>
    <mergeCell ref="C135:I135"/>
    <mergeCell ref="C137:C140"/>
    <mergeCell ref="C141:C144"/>
    <mergeCell ref="B118:B130"/>
    <mergeCell ref="D107:J107"/>
    <mergeCell ref="D108:D110"/>
    <mergeCell ref="E108:E110"/>
    <mergeCell ref="F108:F110"/>
    <mergeCell ref="G108:G110"/>
    <mergeCell ref="J108:J110"/>
    <mergeCell ref="B100:B110"/>
    <mergeCell ref="C100:J100"/>
    <mergeCell ref="D101:I101"/>
    <mergeCell ref="J101:J102"/>
    <mergeCell ref="Q87:Q88"/>
    <mergeCell ref="R82:R83"/>
    <mergeCell ref="S82:S83"/>
    <mergeCell ref="I82:I83"/>
    <mergeCell ref="J82:J83"/>
    <mergeCell ref="K82:K83"/>
    <mergeCell ref="L82:L83"/>
    <mergeCell ref="M82:M83"/>
    <mergeCell ref="N82:N83"/>
    <mergeCell ref="S87:S88"/>
    <mergeCell ref="K87:K88"/>
    <mergeCell ref="L87:L88"/>
    <mergeCell ref="M87:M88"/>
    <mergeCell ref="N87:N88"/>
    <mergeCell ref="O87:O88"/>
    <mergeCell ref="P87:P88"/>
    <mergeCell ref="R87:R88"/>
    <mergeCell ref="E82:E83"/>
    <mergeCell ref="F82:F83"/>
    <mergeCell ref="G82:G83"/>
    <mergeCell ref="H82:H83"/>
    <mergeCell ref="Q72:Q73"/>
    <mergeCell ref="R72:R73"/>
    <mergeCell ref="S72:S73"/>
    <mergeCell ref="K72:K73"/>
    <mergeCell ref="L72:L73"/>
    <mergeCell ref="M72:M73"/>
    <mergeCell ref="N72:N73"/>
    <mergeCell ref="O72:O73"/>
    <mergeCell ref="P72:P73"/>
    <mergeCell ref="O82:O83"/>
    <mergeCell ref="P82:P83"/>
    <mergeCell ref="Q82:Q83"/>
    <mergeCell ref="S62:S63"/>
    <mergeCell ref="M62:M63"/>
    <mergeCell ref="N62:N63"/>
    <mergeCell ref="O62:O63"/>
    <mergeCell ref="P62:P63"/>
    <mergeCell ref="Q62:Q63"/>
    <mergeCell ref="R62:R63"/>
    <mergeCell ref="G62:G63"/>
    <mergeCell ref="H62:H63"/>
    <mergeCell ref="I62:I63"/>
    <mergeCell ref="J62:J63"/>
    <mergeCell ref="K62:K63"/>
    <mergeCell ref="L62:L63"/>
    <mergeCell ref="M52:M53"/>
    <mergeCell ref="N52:N53"/>
    <mergeCell ref="E72:E73"/>
    <mergeCell ref="F72:F73"/>
    <mergeCell ref="G72:G73"/>
    <mergeCell ref="H72:H73"/>
    <mergeCell ref="I72:I73"/>
    <mergeCell ref="J72:J73"/>
    <mergeCell ref="E62:E63"/>
    <mergeCell ref="F62:F63"/>
    <mergeCell ref="E52:E53"/>
    <mergeCell ref="F52:F53"/>
    <mergeCell ref="G52:G53"/>
    <mergeCell ref="H52:H53"/>
    <mergeCell ref="R52:R53"/>
    <mergeCell ref="S52:S53"/>
    <mergeCell ref="E42:E43"/>
    <mergeCell ref="F42:F43"/>
    <mergeCell ref="G42:G43"/>
    <mergeCell ref="H42:H43"/>
    <mergeCell ref="I42:I43"/>
    <mergeCell ref="J42:J43"/>
    <mergeCell ref="O52:O53"/>
    <mergeCell ref="P52:P53"/>
    <mergeCell ref="Q52:Q53"/>
    <mergeCell ref="Q42:Q43"/>
    <mergeCell ref="R42:R43"/>
    <mergeCell ref="S42:S43"/>
    <mergeCell ref="K42:K43"/>
    <mergeCell ref="L42:L43"/>
    <mergeCell ref="M42:M43"/>
    <mergeCell ref="N42:N43"/>
    <mergeCell ref="O42:O43"/>
    <mergeCell ref="P42:P43"/>
    <mergeCell ref="I52:I53"/>
    <mergeCell ref="J52:J53"/>
    <mergeCell ref="K52:K53"/>
    <mergeCell ref="L52:L53"/>
  </mergeCells>
  <phoneticPr fontId="106" type="noConversion"/>
  <hyperlinks>
    <hyperlink ref="K137" r:id="rId1" display="https://www.mpo.cz/cz/energetika/statistika/elektrina-a-teplo/emisni-faktor-co2-z-vyroby-elektriny-za-leta-2010_2021--260559/" xr:uid="{070F5010-A203-47BF-996F-65D42E0ADD68}"/>
  </hyperlinks>
  <printOptions horizontalCentered="1"/>
  <pageMargins left="0.19685039370078741" right="0.15748031496062992" top="0.59055118110236227" bottom="0.59055118110236227" header="0.39370078740157483" footer="0.39370078740157483"/>
  <pageSetup paperSize="9" scale="53" fitToHeight="0" orientation="landscape" r:id="rId2"/>
  <headerFooter alignWithMargins="0">
    <oddFooter>&amp;L&amp;A &amp;P/2&amp;C&amp;D</oddFooter>
  </headerFooter>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65729-97BF-4418-9344-81A6586F6881}">
  <sheetPr codeName="List31">
    <pageSetUpPr fitToPage="1"/>
  </sheetPr>
  <dimension ref="A1:AP299"/>
  <sheetViews>
    <sheetView defaultGridColor="0" topLeftCell="A233" colorId="23" zoomScaleNormal="100" workbookViewId="0">
      <selection activeCell="C300" sqref="C300"/>
    </sheetView>
  </sheetViews>
  <sheetFormatPr defaultColWidth="9.140625" defaultRowHeight="13.5" x14ac:dyDescent="0.3"/>
  <cols>
    <col min="1" max="1" width="2.42578125" style="276" customWidth="1"/>
    <col min="2" max="2" width="10.5703125" style="276" customWidth="1"/>
    <col min="3" max="3" width="42.140625" style="276" customWidth="1"/>
    <col min="4" max="4" width="20.28515625" style="276" customWidth="1"/>
    <col min="5" max="19" width="12.7109375" style="276" customWidth="1"/>
    <col min="20" max="20" width="10.5703125" style="276" customWidth="1"/>
    <col min="21" max="21" width="12" style="276" customWidth="1"/>
    <col min="22" max="22" width="12.7109375" style="276" customWidth="1"/>
    <col min="23" max="29" width="10.5703125" style="276" customWidth="1"/>
    <col min="30" max="34" width="7.140625" style="276" customWidth="1"/>
    <col min="35" max="16384" width="9.140625" style="276"/>
  </cols>
  <sheetData>
    <row r="1" spans="1:29" ht="14.25" thickBot="1" x14ac:dyDescent="0.35"/>
    <row r="2" spans="1:29" ht="14.25" x14ac:dyDescent="0.3">
      <c r="A2" s="245"/>
      <c r="B2" s="290" t="s">
        <v>56</v>
      </c>
      <c r="C2" s="272" t="s">
        <v>1507</v>
      </c>
      <c r="D2" s="274"/>
      <c r="E2" s="2129">
        <f>'1 CIN'!E3</f>
        <v>2026</v>
      </c>
      <c r="F2" s="2127">
        <f t="shared" ref="F2:S2" si="0">E2+1</f>
        <v>2027</v>
      </c>
      <c r="G2" s="2127">
        <f t="shared" si="0"/>
        <v>2028</v>
      </c>
      <c r="H2" s="2127">
        <f t="shared" si="0"/>
        <v>2029</v>
      </c>
      <c r="I2" s="2127">
        <f t="shared" si="0"/>
        <v>2030</v>
      </c>
      <c r="J2" s="2127">
        <f t="shared" si="0"/>
        <v>2031</v>
      </c>
      <c r="K2" s="2127">
        <f t="shared" si="0"/>
        <v>2032</v>
      </c>
      <c r="L2" s="2127">
        <f t="shared" si="0"/>
        <v>2033</v>
      </c>
      <c r="M2" s="2127">
        <f t="shared" si="0"/>
        <v>2034</v>
      </c>
      <c r="N2" s="2127">
        <f t="shared" si="0"/>
        <v>2035</v>
      </c>
      <c r="O2" s="2127">
        <f t="shared" si="0"/>
        <v>2036</v>
      </c>
      <c r="P2" s="2127">
        <f t="shared" si="0"/>
        <v>2037</v>
      </c>
      <c r="Q2" s="2127">
        <f t="shared" si="0"/>
        <v>2038</v>
      </c>
      <c r="R2" s="2127">
        <f t="shared" si="0"/>
        <v>2039</v>
      </c>
      <c r="S2" s="2125">
        <f t="shared" si="0"/>
        <v>2040</v>
      </c>
      <c r="T2" s="247"/>
      <c r="U2" s="247"/>
      <c r="V2" s="247"/>
      <c r="W2" s="247"/>
      <c r="X2" s="247"/>
      <c r="Y2" s="247"/>
      <c r="Z2" s="247"/>
      <c r="AA2" s="247"/>
      <c r="AB2" s="247"/>
      <c r="AC2" s="247"/>
    </row>
    <row r="3" spans="1:29" ht="15" thickBot="1" x14ac:dyDescent="0.35">
      <c r="A3" s="245"/>
      <c r="B3" s="257" t="s">
        <v>4</v>
      </c>
      <c r="C3" s="590" t="str">
        <f>IF('0 Úvod'!$M$10="English",Slovnik!D277,Slovnik!C277)</f>
        <v>Scénář s projektem</v>
      </c>
      <c r="D3" s="591" t="str">
        <f>IF('0 Úvod'!$M$10="English",Slovnik!$D$284,Slovnik!$C$284)</f>
        <v>Celkem</v>
      </c>
      <c r="E3" s="2134"/>
      <c r="F3" s="2135"/>
      <c r="G3" s="2135"/>
      <c r="H3" s="2135"/>
      <c r="I3" s="2135"/>
      <c r="J3" s="2135"/>
      <c r="K3" s="2135"/>
      <c r="L3" s="2135"/>
      <c r="M3" s="2135"/>
      <c r="N3" s="2135"/>
      <c r="O3" s="2135"/>
      <c r="P3" s="2135"/>
      <c r="Q3" s="2135"/>
      <c r="R3" s="2135"/>
      <c r="S3" s="2136"/>
      <c r="T3" s="247"/>
      <c r="U3" s="247"/>
      <c r="V3" s="247"/>
      <c r="W3" s="247"/>
      <c r="X3" s="247"/>
      <c r="Y3" s="247"/>
      <c r="Z3" s="247"/>
      <c r="AA3" s="247"/>
      <c r="AB3" s="247"/>
      <c r="AC3" s="247"/>
    </row>
    <row r="4" spans="1:29" ht="14.25" x14ac:dyDescent="0.3">
      <c r="A4" s="245"/>
      <c r="B4" s="1345" t="s">
        <v>438</v>
      </c>
      <c r="C4" s="136" t="s">
        <v>1602</v>
      </c>
      <c r="D4" s="1346">
        <f t="shared" ref="D4:D10" si="1">SUM(E4:S4,E14:S14)</f>
        <v>0</v>
      </c>
      <c r="E4" s="1644">
        <f>'10 Emise a ŽP'!E4*'10 Emise a ŽP'!E211*'11 Klima'!$E159*'11 Klima'!D$106*D237</f>
        <v>0</v>
      </c>
      <c r="F4" s="1645">
        <f>'10 Emise a ŽP'!F4*'10 Emise a ŽP'!F211*'11 Klima'!$E159*'11 Klima'!E$106*E237</f>
        <v>0</v>
      </c>
      <c r="G4" s="1645">
        <f>'10 Emise a ŽP'!G4*'10 Emise a ŽP'!G211*'11 Klima'!$E159*'11 Klima'!F$106*F237</f>
        <v>0</v>
      </c>
      <c r="H4" s="1645">
        <f>'10 Emise a ŽP'!H4*'10 Emise a ŽP'!H211*'11 Klima'!$E159*'11 Klima'!G$106*G237</f>
        <v>0</v>
      </c>
      <c r="I4" s="1645">
        <f>'10 Emise a ŽP'!I4*'10 Emise a ŽP'!I211*'11 Klima'!$E159*'11 Klima'!H$106*H237</f>
        <v>0</v>
      </c>
      <c r="J4" s="1645">
        <f>'10 Emise a ŽP'!J4*'10 Emise a ŽP'!J211*'11 Klima'!$E159*'11 Klima'!I$106*I237</f>
        <v>0</v>
      </c>
      <c r="K4" s="1645">
        <f>'10 Emise a ŽP'!K4*'10 Emise a ŽP'!K211*'11 Klima'!$E159*'11 Klima'!J$106*J237</f>
        <v>0</v>
      </c>
      <c r="L4" s="1645">
        <f>'10 Emise a ŽP'!L4*'10 Emise a ŽP'!L211*'11 Klima'!$E159*'11 Klima'!K$106*K237</f>
        <v>0</v>
      </c>
      <c r="M4" s="1645">
        <f>'10 Emise a ŽP'!M4*'10 Emise a ŽP'!M211*'11 Klima'!$E159*'11 Klima'!L$106*L237</f>
        <v>0</v>
      </c>
      <c r="N4" s="1645">
        <f>'10 Emise a ŽP'!N4*'10 Emise a ŽP'!N211*'11 Klima'!$E159*'11 Klima'!M$106*M237</f>
        <v>0</v>
      </c>
      <c r="O4" s="1645">
        <f>'10 Emise a ŽP'!O4*'10 Emise a ŽP'!O211*'11 Klima'!$E159*'11 Klima'!N$106*N237</f>
        <v>0</v>
      </c>
      <c r="P4" s="1645">
        <f>'10 Emise a ŽP'!P4*'10 Emise a ŽP'!P211*'11 Klima'!$E159*'11 Klima'!O$106*O237</f>
        <v>0</v>
      </c>
      <c r="Q4" s="1645">
        <f>'10 Emise a ŽP'!Q4*'10 Emise a ŽP'!Q211*'11 Klima'!$E159*'11 Klima'!P$106*P237</f>
        <v>0</v>
      </c>
      <c r="R4" s="1645">
        <f>'10 Emise a ŽP'!R4*'10 Emise a ŽP'!R211*'11 Klima'!$E159*'11 Klima'!Q$106*Q237</f>
        <v>0</v>
      </c>
      <c r="S4" s="1646">
        <f>'10 Emise a ŽP'!S4*'10 Emise a ŽP'!S211*'11 Klima'!$E159*'11 Klima'!R$106*R237</f>
        <v>0</v>
      </c>
      <c r="T4" s="236"/>
      <c r="U4" s="236"/>
      <c r="V4" s="236"/>
      <c r="W4" s="236"/>
      <c r="X4" s="236"/>
      <c r="Y4" s="236"/>
      <c r="Z4" s="236"/>
      <c r="AA4" s="236"/>
      <c r="AB4" s="236"/>
      <c r="AC4" s="236"/>
    </row>
    <row r="5" spans="1:29" s="289" customFormat="1" ht="14.25" x14ac:dyDescent="0.3">
      <c r="A5" s="287"/>
      <c r="B5" s="1345" t="s">
        <v>1448</v>
      </c>
      <c r="C5" s="136" t="s">
        <v>1602</v>
      </c>
      <c r="D5" s="1346">
        <f t="shared" si="1"/>
        <v>0</v>
      </c>
      <c r="E5" s="1510">
        <f>'10 Emise a ŽP'!E5*'10 Emise a ŽP'!E212*'11 Klima'!$E160*'11 Klima'!D$106*D238</f>
        <v>0</v>
      </c>
      <c r="F5" s="1347">
        <f>'10 Emise a ŽP'!F5*'10 Emise a ŽP'!F212*'11 Klima'!$E160*'11 Klima'!E$106*E238</f>
        <v>0</v>
      </c>
      <c r="G5" s="1347">
        <f>'10 Emise a ŽP'!G5*'10 Emise a ŽP'!G212*'11 Klima'!$E160*'11 Klima'!F$106*F238</f>
        <v>0</v>
      </c>
      <c r="H5" s="1347">
        <f>'10 Emise a ŽP'!H5*'10 Emise a ŽP'!H212*'11 Klima'!$E160*'11 Klima'!G$106*G238</f>
        <v>0</v>
      </c>
      <c r="I5" s="1347">
        <f>'10 Emise a ŽP'!I5*'10 Emise a ŽP'!I212*'11 Klima'!$E160*'11 Klima'!H$106*H238</f>
        <v>0</v>
      </c>
      <c r="J5" s="1347">
        <f>'10 Emise a ŽP'!J5*'10 Emise a ŽP'!J212*'11 Klima'!$E160*'11 Klima'!I$106*I238</f>
        <v>0</v>
      </c>
      <c r="K5" s="1347">
        <f>'10 Emise a ŽP'!K5*'10 Emise a ŽP'!K212*'11 Klima'!$E160*'11 Klima'!J$106*J238</f>
        <v>0</v>
      </c>
      <c r="L5" s="1347">
        <f>'10 Emise a ŽP'!L5*'10 Emise a ŽP'!L212*'11 Klima'!$E160*'11 Klima'!K$106*K238</f>
        <v>0</v>
      </c>
      <c r="M5" s="1347">
        <f>'10 Emise a ŽP'!M5*'10 Emise a ŽP'!M212*'11 Klima'!$E160*'11 Klima'!L$106*L238</f>
        <v>0</v>
      </c>
      <c r="N5" s="1347">
        <f>'10 Emise a ŽP'!N5*'10 Emise a ŽP'!N212*'11 Klima'!$E160*'11 Klima'!M$106*M238</f>
        <v>0</v>
      </c>
      <c r="O5" s="1347">
        <f>'10 Emise a ŽP'!O5*'10 Emise a ŽP'!O212*'11 Klima'!$E160*'11 Klima'!N$106*N238</f>
        <v>0</v>
      </c>
      <c r="P5" s="1347">
        <f>'10 Emise a ŽP'!P5*'10 Emise a ŽP'!P212*'11 Klima'!$E160*'11 Klima'!O$106*O238</f>
        <v>0</v>
      </c>
      <c r="Q5" s="1347">
        <f>'10 Emise a ŽP'!Q5*'10 Emise a ŽP'!Q212*'11 Klima'!$E160*'11 Klima'!P$106*P238</f>
        <v>0</v>
      </c>
      <c r="R5" s="1347">
        <f>'10 Emise a ŽP'!R5*'10 Emise a ŽP'!R212*'11 Klima'!$E160*'11 Klima'!Q$106*Q238</f>
        <v>0</v>
      </c>
      <c r="S5" s="1348">
        <f>'10 Emise a ŽP'!S5*'10 Emise a ŽP'!S212*'11 Klima'!$E160*'11 Klima'!R$106*R238</f>
        <v>0</v>
      </c>
      <c r="T5" s="288"/>
      <c r="U5" s="288"/>
      <c r="V5" s="288"/>
      <c r="W5" s="288"/>
      <c r="X5" s="288"/>
      <c r="Y5" s="288"/>
      <c r="Z5" s="288"/>
      <c r="AA5" s="288"/>
      <c r="AB5" s="288"/>
      <c r="AC5" s="288"/>
    </row>
    <row r="6" spans="1:29" ht="14.25" customHeight="1" x14ac:dyDescent="0.3">
      <c r="A6" s="245"/>
      <c r="B6" s="1345" t="s">
        <v>1449</v>
      </c>
      <c r="C6" s="136" t="s">
        <v>1602</v>
      </c>
      <c r="D6" s="1346">
        <f t="shared" si="1"/>
        <v>0</v>
      </c>
      <c r="E6" s="1510">
        <f>'10 Emise a ŽP'!E6*'10 Emise a ŽP'!E213*'11 Klima'!$E161*'11 Klima'!D$106*D239</f>
        <v>0</v>
      </c>
      <c r="F6" s="1347">
        <f>'10 Emise a ŽP'!F6*'10 Emise a ŽP'!F213*'11 Klima'!$E161*'11 Klima'!E$106*E239</f>
        <v>0</v>
      </c>
      <c r="G6" s="1347">
        <f>'10 Emise a ŽP'!G6*'10 Emise a ŽP'!G213*'11 Klima'!$E161*'11 Klima'!F$106*F239</f>
        <v>0</v>
      </c>
      <c r="H6" s="1347">
        <f>'10 Emise a ŽP'!H6*'10 Emise a ŽP'!H213*'11 Klima'!$E161*'11 Klima'!G$106*G239</f>
        <v>0</v>
      </c>
      <c r="I6" s="1347">
        <f>'10 Emise a ŽP'!I6*'10 Emise a ŽP'!I213*'11 Klima'!$E161*'11 Klima'!H$106*H239</f>
        <v>0</v>
      </c>
      <c r="J6" s="1347">
        <f>'10 Emise a ŽP'!J6*'10 Emise a ŽP'!J213*'11 Klima'!$E161*'11 Klima'!I$106*I239</f>
        <v>0</v>
      </c>
      <c r="K6" s="1347">
        <f>'10 Emise a ŽP'!K6*'10 Emise a ŽP'!K213*'11 Klima'!$E161*'11 Klima'!J$106*J239</f>
        <v>0</v>
      </c>
      <c r="L6" s="1347">
        <f>'10 Emise a ŽP'!L6*'10 Emise a ŽP'!L213*'11 Klima'!$E161*'11 Klima'!K$106*K239</f>
        <v>0</v>
      </c>
      <c r="M6" s="1347">
        <f>'10 Emise a ŽP'!M6*'10 Emise a ŽP'!M213*'11 Klima'!$E161*'11 Klima'!L$106*L239</f>
        <v>0</v>
      </c>
      <c r="N6" s="1347">
        <f>'10 Emise a ŽP'!N6*'10 Emise a ŽP'!N213*'11 Klima'!$E161*'11 Klima'!M$106*M239</f>
        <v>0</v>
      </c>
      <c r="O6" s="1347">
        <f>'10 Emise a ŽP'!O6*'10 Emise a ŽP'!O213*'11 Klima'!$E161*'11 Klima'!N$106*N239</f>
        <v>0</v>
      </c>
      <c r="P6" s="1347">
        <f>'10 Emise a ŽP'!P6*'10 Emise a ŽP'!P213*'11 Klima'!$E161*'11 Klima'!O$106*O239</f>
        <v>0</v>
      </c>
      <c r="Q6" s="1347">
        <f>'10 Emise a ŽP'!Q6*'10 Emise a ŽP'!Q213*'11 Klima'!$E161*'11 Klima'!P$106*P239</f>
        <v>0</v>
      </c>
      <c r="R6" s="1347">
        <f>'10 Emise a ŽP'!R6*'10 Emise a ŽP'!R213*'11 Klima'!$E161*'11 Klima'!Q$106*Q239</f>
        <v>0</v>
      </c>
      <c r="S6" s="1348">
        <f>'10 Emise a ŽP'!S6*'10 Emise a ŽP'!S213*'11 Klima'!$E161*'11 Klima'!R$106*R239</f>
        <v>0</v>
      </c>
      <c r="T6" s="236"/>
      <c r="U6" s="236"/>
      <c r="V6" s="236"/>
      <c r="W6" s="236"/>
      <c r="X6" s="236"/>
      <c r="Y6" s="236"/>
      <c r="Z6" s="236"/>
      <c r="AA6" s="236"/>
      <c r="AB6" s="236"/>
      <c r="AC6" s="236"/>
    </row>
    <row r="7" spans="1:29" s="289" customFormat="1" ht="14.25" x14ac:dyDescent="0.3">
      <c r="A7" s="287"/>
      <c r="B7" s="1345" t="s">
        <v>1450</v>
      </c>
      <c r="C7" s="136" t="s">
        <v>1602</v>
      </c>
      <c r="D7" s="1346">
        <f t="shared" si="1"/>
        <v>0</v>
      </c>
      <c r="E7" s="1510">
        <f>'10 Emise a ŽP'!E7*'10 Emise a ŽP'!E214*'11 Klima'!$E162*'11 Klima'!D$106*D240</f>
        <v>0</v>
      </c>
      <c r="F7" s="1347">
        <f>'10 Emise a ŽP'!F7*'10 Emise a ŽP'!F214*'11 Klima'!$E162*'11 Klima'!E$106*E240</f>
        <v>0</v>
      </c>
      <c r="G7" s="1347">
        <f>'10 Emise a ŽP'!G7*'10 Emise a ŽP'!G214*'11 Klima'!$E162*'11 Klima'!F$106*F240</f>
        <v>0</v>
      </c>
      <c r="H7" s="1347">
        <f>'10 Emise a ŽP'!H7*'10 Emise a ŽP'!H214*'11 Klima'!$E162*'11 Klima'!G$106*G240</f>
        <v>0</v>
      </c>
      <c r="I7" s="1347">
        <f>'10 Emise a ŽP'!I7*'10 Emise a ŽP'!I214*'11 Klima'!$E162*'11 Klima'!H$106*H240</f>
        <v>0</v>
      </c>
      <c r="J7" s="1347">
        <f>'10 Emise a ŽP'!J7*'10 Emise a ŽP'!J214*'11 Klima'!$E162*'11 Klima'!I$106*I240</f>
        <v>0</v>
      </c>
      <c r="K7" s="1347">
        <f>'10 Emise a ŽP'!K7*'10 Emise a ŽP'!K214*'11 Klima'!$E162*'11 Klima'!J$106*J240</f>
        <v>0</v>
      </c>
      <c r="L7" s="1347">
        <f>'10 Emise a ŽP'!L7*'10 Emise a ŽP'!L214*'11 Klima'!$E162*'11 Klima'!K$106*K240</f>
        <v>0</v>
      </c>
      <c r="M7" s="1347">
        <f>'10 Emise a ŽP'!M7*'10 Emise a ŽP'!M214*'11 Klima'!$E162*'11 Klima'!L$106*L240</f>
        <v>0</v>
      </c>
      <c r="N7" s="1347">
        <f>'10 Emise a ŽP'!N7*'10 Emise a ŽP'!N214*'11 Klima'!$E162*'11 Klima'!M$106*M240</f>
        <v>0</v>
      </c>
      <c r="O7" s="1347">
        <f>'10 Emise a ŽP'!O7*'10 Emise a ŽP'!O214*'11 Klima'!$E162*'11 Klima'!N$106*N240</f>
        <v>0</v>
      </c>
      <c r="P7" s="1347">
        <f>'10 Emise a ŽP'!P7*'10 Emise a ŽP'!P214*'11 Klima'!$E162*'11 Klima'!O$106*O240</f>
        <v>0</v>
      </c>
      <c r="Q7" s="1347">
        <f>'10 Emise a ŽP'!Q7*'10 Emise a ŽP'!Q214*'11 Klima'!$E162*'11 Klima'!P$106*P240</f>
        <v>0</v>
      </c>
      <c r="R7" s="1347">
        <f>'10 Emise a ŽP'!R7*'10 Emise a ŽP'!R214*'11 Klima'!$E162*'11 Klima'!Q$106*Q240</f>
        <v>0</v>
      </c>
      <c r="S7" s="1348">
        <f>'10 Emise a ŽP'!S7*'10 Emise a ŽP'!S214*'11 Klima'!$E162*'11 Klima'!R$106*R240</f>
        <v>0</v>
      </c>
      <c r="T7" s="288"/>
      <c r="U7" s="288"/>
      <c r="V7" s="288"/>
      <c r="W7" s="288"/>
      <c r="X7" s="288"/>
      <c r="Y7" s="288"/>
      <c r="Z7" s="288"/>
      <c r="AA7" s="288"/>
      <c r="AB7" s="288"/>
      <c r="AC7" s="288"/>
    </row>
    <row r="8" spans="1:29" s="289" customFormat="1" ht="14.25" x14ac:dyDescent="0.3">
      <c r="A8" s="287"/>
      <c r="B8" s="1345" t="s">
        <v>439</v>
      </c>
      <c r="C8" s="136" t="s">
        <v>1602</v>
      </c>
      <c r="D8" s="1346">
        <f t="shared" si="1"/>
        <v>0</v>
      </c>
      <c r="E8" s="1510">
        <f>'10 Emise a ŽP'!E8*'10 Emise a ŽP'!E215*'11 Klima'!$E163*'11 Klima'!D$106*D241</f>
        <v>0</v>
      </c>
      <c r="F8" s="1347">
        <f>'10 Emise a ŽP'!F8*'10 Emise a ŽP'!F215*'11 Klima'!$E163*'11 Klima'!E$106*E241</f>
        <v>0</v>
      </c>
      <c r="G8" s="1347">
        <f>'10 Emise a ŽP'!G8*'10 Emise a ŽP'!G215*'11 Klima'!$E163*'11 Klima'!F$106*F241</f>
        <v>0</v>
      </c>
      <c r="H8" s="1347">
        <f>'10 Emise a ŽP'!H8*'10 Emise a ŽP'!H215*'11 Klima'!$E163*'11 Klima'!G$106*G241</f>
        <v>0</v>
      </c>
      <c r="I8" s="1347">
        <f>'10 Emise a ŽP'!I8*'10 Emise a ŽP'!I215*'11 Klima'!$E163*'11 Klima'!H$106*H241</f>
        <v>0</v>
      </c>
      <c r="J8" s="1347">
        <f>'10 Emise a ŽP'!J8*'10 Emise a ŽP'!J215*'11 Klima'!$E163*'11 Klima'!I$106*I241</f>
        <v>0</v>
      </c>
      <c r="K8" s="1347">
        <f>'10 Emise a ŽP'!K8*'10 Emise a ŽP'!K215*'11 Klima'!$E163*'11 Klima'!J$106*J241</f>
        <v>0</v>
      </c>
      <c r="L8" s="1347">
        <f>'10 Emise a ŽP'!L8*'10 Emise a ŽP'!L215*'11 Klima'!$E163*'11 Klima'!K$106*K241</f>
        <v>0</v>
      </c>
      <c r="M8" s="1347">
        <f>'10 Emise a ŽP'!M8*'10 Emise a ŽP'!M215*'11 Klima'!$E163*'11 Klima'!L$106*L241</f>
        <v>0</v>
      </c>
      <c r="N8" s="1347">
        <f>'10 Emise a ŽP'!N8*'10 Emise a ŽP'!N215*'11 Klima'!$E163*'11 Klima'!M$106*M241</f>
        <v>0</v>
      </c>
      <c r="O8" s="1347">
        <f>'10 Emise a ŽP'!O8*'10 Emise a ŽP'!O215*'11 Klima'!$E163*'11 Klima'!N$106*N241</f>
        <v>0</v>
      </c>
      <c r="P8" s="1347">
        <f>'10 Emise a ŽP'!P8*'10 Emise a ŽP'!P215*'11 Klima'!$E163*'11 Klima'!O$106*O241</f>
        <v>0</v>
      </c>
      <c r="Q8" s="1347">
        <f>'10 Emise a ŽP'!Q8*'10 Emise a ŽP'!Q215*'11 Klima'!$E163*'11 Klima'!P$106*P241</f>
        <v>0</v>
      </c>
      <c r="R8" s="1347">
        <f>'10 Emise a ŽP'!R8*'10 Emise a ŽP'!R215*'11 Klima'!$E163*'11 Klima'!Q$106*Q241</f>
        <v>0</v>
      </c>
      <c r="S8" s="1348">
        <f>'10 Emise a ŽP'!S8*'10 Emise a ŽP'!S215*'11 Klima'!$E163*'11 Klima'!R$106*R241</f>
        <v>0</v>
      </c>
      <c r="T8" s="288"/>
      <c r="U8" s="288"/>
      <c r="V8" s="288"/>
      <c r="W8" s="288"/>
      <c r="X8" s="288"/>
      <c r="Y8" s="288"/>
      <c r="Z8" s="288"/>
      <c r="AA8" s="288"/>
      <c r="AB8" s="288"/>
      <c r="AC8" s="288"/>
    </row>
    <row r="9" spans="1:29" s="289" customFormat="1" ht="14.25" x14ac:dyDescent="0.3">
      <c r="A9" s="287"/>
      <c r="B9" s="1345" t="s">
        <v>1483</v>
      </c>
      <c r="C9" s="136" t="s">
        <v>1602</v>
      </c>
      <c r="D9" s="1346">
        <f t="shared" si="1"/>
        <v>0</v>
      </c>
      <c r="E9" s="1510">
        <f>'10 Emise a ŽP'!E9*'10 Emise a ŽP'!E216*'11 Klima'!$E164*'11 Klima'!D$106*D242</f>
        <v>0</v>
      </c>
      <c r="F9" s="1347">
        <f>'10 Emise a ŽP'!F9*'10 Emise a ŽP'!F216*'11 Klima'!$E164*'11 Klima'!E$106*E242</f>
        <v>0</v>
      </c>
      <c r="G9" s="1347">
        <f>'10 Emise a ŽP'!G9*'10 Emise a ŽP'!G216*'11 Klima'!$E164*'11 Klima'!F$106*F242</f>
        <v>0</v>
      </c>
      <c r="H9" s="1347">
        <f>'10 Emise a ŽP'!H9*'10 Emise a ŽP'!H216*'11 Klima'!$E164*'11 Klima'!G$106*G242</f>
        <v>0</v>
      </c>
      <c r="I9" s="1347">
        <f>'10 Emise a ŽP'!I9*'10 Emise a ŽP'!I216*'11 Klima'!$E164*'11 Klima'!H$106*H242</f>
        <v>0</v>
      </c>
      <c r="J9" s="1347">
        <f>'10 Emise a ŽP'!J9*'10 Emise a ŽP'!J216*'11 Klima'!$E164*'11 Klima'!I$106*I242</f>
        <v>0</v>
      </c>
      <c r="K9" s="1347">
        <f>'10 Emise a ŽP'!K9*'10 Emise a ŽP'!K216*'11 Klima'!$E164*'11 Klima'!J$106*J242</f>
        <v>0</v>
      </c>
      <c r="L9" s="1347">
        <f>'10 Emise a ŽP'!L9*'10 Emise a ŽP'!L216*'11 Klima'!$E164*'11 Klima'!K$106*K242</f>
        <v>0</v>
      </c>
      <c r="M9" s="1347">
        <f>'10 Emise a ŽP'!M9*'10 Emise a ŽP'!M216*'11 Klima'!$E164*'11 Klima'!L$106*L242</f>
        <v>0</v>
      </c>
      <c r="N9" s="1347">
        <f>'10 Emise a ŽP'!N9*'10 Emise a ŽP'!N216*'11 Klima'!$E164*'11 Klima'!M$106*M242</f>
        <v>0</v>
      </c>
      <c r="O9" s="1347">
        <f>'10 Emise a ŽP'!O9*'10 Emise a ŽP'!O216*'11 Klima'!$E164*'11 Klima'!N$106*N242</f>
        <v>0</v>
      </c>
      <c r="P9" s="1347">
        <f>'10 Emise a ŽP'!P9*'10 Emise a ŽP'!P216*'11 Klima'!$E164*'11 Klima'!O$106*O242</f>
        <v>0</v>
      </c>
      <c r="Q9" s="1347">
        <f>'10 Emise a ŽP'!Q9*'10 Emise a ŽP'!Q216*'11 Klima'!$E164*'11 Klima'!P$106*P242</f>
        <v>0</v>
      </c>
      <c r="R9" s="1347">
        <f>'10 Emise a ŽP'!R9*'10 Emise a ŽP'!R216*'11 Klima'!$E164*'11 Klima'!Q$106*Q242</f>
        <v>0</v>
      </c>
      <c r="S9" s="1348">
        <f>'10 Emise a ŽP'!S9*'10 Emise a ŽP'!S216*'11 Klima'!$E164*'11 Klima'!R$106*R242</f>
        <v>0</v>
      </c>
      <c r="T9" s="288"/>
      <c r="U9" s="288"/>
      <c r="V9" s="288"/>
      <c r="W9" s="288"/>
      <c r="X9" s="288"/>
      <c r="Y9" s="288"/>
      <c r="Z9" s="288"/>
      <c r="AA9" s="288"/>
      <c r="AB9" s="288"/>
      <c r="AC9" s="288"/>
    </row>
    <row r="10" spans="1:29" ht="15" thickBot="1" x14ac:dyDescent="0.35">
      <c r="A10" s="245"/>
      <c r="B10" s="582"/>
      <c r="C10" s="240" t="str">
        <f>IF('0 Úvod'!$M$10="English",Slovnik!D282,Slovnik!C282)</f>
        <v>Celkové externí náklady</v>
      </c>
      <c r="D10" s="241">
        <f t="shared" si="1"/>
        <v>0</v>
      </c>
      <c r="E10" s="615">
        <f>SUM(E4:E9)</f>
        <v>0</v>
      </c>
      <c r="F10" s="616">
        <f t="shared" ref="F10:S10" si="2">SUM(F4:F9)</f>
        <v>0</v>
      </c>
      <c r="G10" s="616">
        <f t="shared" si="2"/>
        <v>0</v>
      </c>
      <c r="H10" s="616">
        <f t="shared" si="2"/>
        <v>0</v>
      </c>
      <c r="I10" s="616">
        <f t="shared" si="2"/>
        <v>0</v>
      </c>
      <c r="J10" s="616">
        <f t="shared" si="2"/>
        <v>0</v>
      </c>
      <c r="K10" s="616">
        <f t="shared" si="2"/>
        <v>0</v>
      </c>
      <c r="L10" s="616">
        <f t="shared" si="2"/>
        <v>0</v>
      </c>
      <c r="M10" s="616">
        <f t="shared" si="2"/>
        <v>0</v>
      </c>
      <c r="N10" s="616">
        <f t="shared" si="2"/>
        <v>0</v>
      </c>
      <c r="O10" s="616">
        <f t="shared" si="2"/>
        <v>0</v>
      </c>
      <c r="P10" s="616">
        <f t="shared" si="2"/>
        <v>0</v>
      </c>
      <c r="Q10" s="616">
        <f t="shared" si="2"/>
        <v>0</v>
      </c>
      <c r="R10" s="616">
        <f t="shared" si="2"/>
        <v>0</v>
      </c>
      <c r="S10" s="617">
        <f t="shared" si="2"/>
        <v>0</v>
      </c>
      <c r="T10" s="237"/>
      <c r="U10" s="237"/>
      <c r="V10" s="237"/>
      <c r="W10" s="237"/>
      <c r="X10" s="237"/>
      <c r="Y10" s="237"/>
      <c r="Z10" s="237"/>
      <c r="AA10" s="237"/>
      <c r="AB10" s="237"/>
      <c r="AC10" s="237"/>
    </row>
    <row r="11" spans="1:29" ht="14.25" thickBot="1" x14ac:dyDescent="0.35">
      <c r="A11" s="245"/>
      <c r="B11" s="1349"/>
      <c r="C11" s="1165"/>
      <c r="D11" s="1167"/>
      <c r="E11" s="1167"/>
      <c r="F11" s="1167"/>
      <c r="G11" s="1167"/>
      <c r="H11" s="1167"/>
      <c r="I11" s="1167"/>
      <c r="J11" s="1167"/>
      <c r="K11" s="1167"/>
      <c r="L11" s="1167"/>
      <c r="M11" s="1167"/>
      <c r="N11" s="1167"/>
      <c r="O11" s="1167"/>
      <c r="P11" s="1167"/>
      <c r="Q11" s="1167"/>
      <c r="R11" s="1167"/>
      <c r="S11" s="1167"/>
      <c r="T11" s="236"/>
      <c r="U11" s="236"/>
      <c r="V11" s="236"/>
      <c r="W11" s="236"/>
      <c r="X11" s="236"/>
      <c r="Y11" s="236"/>
      <c r="Z11" s="236"/>
      <c r="AA11" s="236"/>
      <c r="AB11" s="236"/>
      <c r="AC11" s="236"/>
    </row>
    <row r="12" spans="1:29" ht="14.25" x14ac:dyDescent="0.3">
      <c r="A12" s="245"/>
      <c r="B12" s="290" t="str">
        <f>B2</f>
        <v>11.1.</v>
      </c>
      <c r="C12" s="272" t="str">
        <f>C2</f>
        <v>Externí náklady na CO2, vlivy na klima (CZK)</v>
      </c>
      <c r="D12" s="274"/>
      <c r="E12" s="2127">
        <f>S2+1</f>
        <v>2041</v>
      </c>
      <c r="F12" s="2127">
        <f t="shared" ref="F12:S12" si="3">E12+1</f>
        <v>2042</v>
      </c>
      <c r="G12" s="2127">
        <f t="shared" si="3"/>
        <v>2043</v>
      </c>
      <c r="H12" s="2127">
        <f t="shared" si="3"/>
        <v>2044</v>
      </c>
      <c r="I12" s="2127">
        <f t="shared" si="3"/>
        <v>2045</v>
      </c>
      <c r="J12" s="2127">
        <f t="shared" si="3"/>
        <v>2046</v>
      </c>
      <c r="K12" s="2127">
        <f t="shared" si="3"/>
        <v>2047</v>
      </c>
      <c r="L12" s="2127">
        <f t="shared" si="3"/>
        <v>2048</v>
      </c>
      <c r="M12" s="2127">
        <f t="shared" si="3"/>
        <v>2049</v>
      </c>
      <c r="N12" s="2127">
        <f t="shared" si="3"/>
        <v>2050</v>
      </c>
      <c r="O12" s="2127">
        <f t="shared" si="3"/>
        <v>2051</v>
      </c>
      <c r="P12" s="2127">
        <f t="shared" si="3"/>
        <v>2052</v>
      </c>
      <c r="Q12" s="2127">
        <f t="shared" si="3"/>
        <v>2053</v>
      </c>
      <c r="R12" s="2127">
        <f t="shared" si="3"/>
        <v>2054</v>
      </c>
      <c r="S12" s="2125">
        <f t="shared" si="3"/>
        <v>2055</v>
      </c>
      <c r="T12" s="247"/>
      <c r="U12" s="247"/>
      <c r="V12" s="247"/>
      <c r="W12" s="247"/>
      <c r="X12" s="247"/>
      <c r="Y12" s="247"/>
      <c r="Z12" s="247"/>
      <c r="AA12" s="247"/>
      <c r="AB12" s="247"/>
      <c r="AC12" s="247"/>
    </row>
    <row r="13" spans="1:29" ht="15" thickBot="1" x14ac:dyDescent="0.35">
      <c r="A13" s="245"/>
      <c r="B13" s="257" t="s">
        <v>5</v>
      </c>
      <c r="C13" s="590" t="str">
        <f t="shared" ref="C13:C20" si="4">C3</f>
        <v>Scénář s projektem</v>
      </c>
      <c r="D13" s="591"/>
      <c r="E13" s="2135"/>
      <c r="F13" s="2135"/>
      <c r="G13" s="2135"/>
      <c r="H13" s="2135"/>
      <c r="I13" s="2135"/>
      <c r="J13" s="2135"/>
      <c r="K13" s="2135"/>
      <c r="L13" s="2135"/>
      <c r="M13" s="2135"/>
      <c r="N13" s="2135"/>
      <c r="O13" s="2135"/>
      <c r="P13" s="2135"/>
      <c r="Q13" s="2135"/>
      <c r="R13" s="2135"/>
      <c r="S13" s="2136"/>
      <c r="T13" s="247"/>
      <c r="U13" s="247"/>
      <c r="V13" s="247"/>
      <c r="W13" s="247"/>
      <c r="X13" s="247"/>
      <c r="Y13" s="247"/>
      <c r="Z13" s="247"/>
      <c r="AA13" s="247"/>
      <c r="AB13" s="247"/>
      <c r="AC13" s="247"/>
    </row>
    <row r="14" spans="1:29" ht="12" customHeight="1" x14ac:dyDescent="0.3">
      <c r="A14" s="245"/>
      <c r="B14" s="1359" t="str">
        <f t="shared" ref="B14:B19" si="5">B4</f>
        <v>BUS</v>
      </c>
      <c r="C14" s="1351" t="str">
        <f t="shared" si="4"/>
        <v>Znečištění ovzduší (klima)</v>
      </c>
      <c r="D14" s="1346"/>
      <c r="E14" s="1644">
        <f>'10 Emise a ŽP'!E14*'10 Emise a ŽP'!E221*'11 Klima'!$E159*'11 Klima'!D$109*D244</f>
        <v>0</v>
      </c>
      <c r="F14" s="1645">
        <f>'10 Emise a ŽP'!F14*'10 Emise a ŽP'!F221*'11 Klima'!$E159*'11 Klima'!E$109*E244</f>
        <v>0</v>
      </c>
      <c r="G14" s="1645">
        <f>'10 Emise a ŽP'!G14*'10 Emise a ŽP'!G221*'11 Klima'!$E159*'11 Klima'!F$109*F244</f>
        <v>0</v>
      </c>
      <c r="H14" s="1645">
        <f>'10 Emise a ŽP'!H14*'10 Emise a ŽP'!H221*'11 Klima'!$E159*'11 Klima'!G$109*G244</f>
        <v>0</v>
      </c>
      <c r="I14" s="1645">
        <f>'10 Emise a ŽP'!I14*'10 Emise a ŽP'!I221*'11 Klima'!$E159*'11 Klima'!H$109*H244</f>
        <v>0</v>
      </c>
      <c r="J14" s="1645">
        <f>'10 Emise a ŽP'!J14*'10 Emise a ŽP'!J221*'11 Klima'!$E159*'11 Klima'!I$109*I244</f>
        <v>0</v>
      </c>
      <c r="K14" s="1645">
        <f>'10 Emise a ŽP'!K14*'10 Emise a ŽP'!K221*'11 Klima'!$E159*'11 Klima'!J$109*J244</f>
        <v>0</v>
      </c>
      <c r="L14" s="1645">
        <f>'10 Emise a ŽP'!L14*'10 Emise a ŽP'!L221*'11 Klima'!$E159*'11 Klima'!K$109*K244</f>
        <v>0</v>
      </c>
      <c r="M14" s="1645">
        <f>'10 Emise a ŽP'!M14*'10 Emise a ŽP'!M221*'11 Klima'!$E159*'11 Klima'!L$109*L244</f>
        <v>0</v>
      </c>
      <c r="N14" s="1645">
        <f>'10 Emise a ŽP'!N14*'10 Emise a ŽP'!N221*'11 Klima'!$E159*'11 Klima'!M$109*M244</f>
        <v>0</v>
      </c>
      <c r="O14" s="1645">
        <f>'10 Emise a ŽP'!O14*'10 Emise a ŽP'!O221*'11 Klima'!$E159*'11 Klima'!N$109*N244</f>
        <v>0</v>
      </c>
      <c r="P14" s="1645">
        <f>'10 Emise a ŽP'!P14*'10 Emise a ŽP'!P221*'11 Klima'!$E159*'11 Klima'!O$109*O244</f>
        <v>0</v>
      </c>
      <c r="Q14" s="1645">
        <f>'10 Emise a ŽP'!Q14*'10 Emise a ŽP'!Q221*'11 Klima'!$E159*'11 Klima'!P$109*P244</f>
        <v>0</v>
      </c>
      <c r="R14" s="1645">
        <f>'10 Emise a ŽP'!R14*'10 Emise a ŽP'!R221*'11 Klima'!$E159*'11 Klima'!Q$109*Q244</f>
        <v>0</v>
      </c>
      <c r="S14" s="1646">
        <f>'10 Emise a ŽP'!S14*'10 Emise a ŽP'!S221*'11 Klima'!$E159*'11 Klima'!R$109*R244</f>
        <v>0</v>
      </c>
      <c r="T14" s="236"/>
      <c r="U14" s="236"/>
      <c r="V14" s="236"/>
      <c r="W14" s="236"/>
      <c r="X14" s="236"/>
      <c r="Y14" s="236"/>
      <c r="Z14" s="236"/>
      <c r="AA14" s="236"/>
      <c r="AB14" s="236"/>
      <c r="AC14" s="236"/>
    </row>
    <row r="15" spans="1:29" s="289" customFormat="1" ht="12" customHeight="1" x14ac:dyDescent="0.3">
      <c r="A15" s="287"/>
      <c r="B15" s="1345" t="str">
        <f t="shared" si="5"/>
        <v>Trolejbus</v>
      </c>
      <c r="C15" s="1353" t="str">
        <f t="shared" si="4"/>
        <v>Znečištění ovzduší (klima)</v>
      </c>
      <c r="D15" s="1346"/>
      <c r="E15" s="1510">
        <f>'10 Emise a ŽP'!E15*'10 Emise a ŽP'!E222*'11 Klima'!$E160*'11 Klima'!D$109*D245</f>
        <v>0</v>
      </c>
      <c r="F15" s="1347">
        <f>'10 Emise a ŽP'!F15*'10 Emise a ŽP'!F222*'11 Klima'!$E160*'11 Klima'!E$109*E245</f>
        <v>0</v>
      </c>
      <c r="G15" s="1347">
        <f>'10 Emise a ŽP'!G15*'10 Emise a ŽP'!G222*'11 Klima'!$E160*'11 Klima'!F$109*F245</f>
        <v>0</v>
      </c>
      <c r="H15" s="1347">
        <f>'10 Emise a ŽP'!H15*'10 Emise a ŽP'!H222*'11 Klima'!$E160*'11 Klima'!G$109*G245</f>
        <v>0</v>
      </c>
      <c r="I15" s="1347">
        <f>'10 Emise a ŽP'!I15*'10 Emise a ŽP'!I222*'11 Klima'!$E160*'11 Klima'!H$109*H245</f>
        <v>0</v>
      </c>
      <c r="J15" s="1347">
        <f>'10 Emise a ŽP'!J15*'10 Emise a ŽP'!J222*'11 Klima'!$E160*'11 Klima'!I$109*I245</f>
        <v>0</v>
      </c>
      <c r="K15" s="1347">
        <f>'10 Emise a ŽP'!K15*'10 Emise a ŽP'!K222*'11 Klima'!$E160*'11 Klima'!J$109*J245</f>
        <v>0</v>
      </c>
      <c r="L15" s="1347">
        <f>'10 Emise a ŽP'!L15*'10 Emise a ŽP'!L222*'11 Klima'!$E160*'11 Klima'!K$109*K245</f>
        <v>0</v>
      </c>
      <c r="M15" s="1347">
        <f>'10 Emise a ŽP'!M15*'10 Emise a ŽP'!M222*'11 Klima'!$E160*'11 Klima'!L$109*L245</f>
        <v>0</v>
      </c>
      <c r="N15" s="1347">
        <f>'10 Emise a ŽP'!N15*'10 Emise a ŽP'!N222*'11 Klima'!$E160*'11 Klima'!M$109*M245</f>
        <v>0</v>
      </c>
      <c r="O15" s="1347">
        <f>'10 Emise a ŽP'!O15*'10 Emise a ŽP'!O222*'11 Klima'!$E160*'11 Klima'!N$109*N245</f>
        <v>0</v>
      </c>
      <c r="P15" s="1347">
        <f>'10 Emise a ŽP'!P15*'10 Emise a ŽP'!P222*'11 Klima'!$E160*'11 Klima'!O$109*O245</f>
        <v>0</v>
      </c>
      <c r="Q15" s="1347">
        <f>'10 Emise a ŽP'!Q15*'10 Emise a ŽP'!Q222*'11 Klima'!$E160*'11 Klima'!P$109*P245</f>
        <v>0</v>
      </c>
      <c r="R15" s="1347">
        <f>'10 Emise a ŽP'!R15*'10 Emise a ŽP'!R222*'11 Klima'!$E160*'11 Klima'!Q$109*Q245</f>
        <v>0</v>
      </c>
      <c r="S15" s="1348">
        <f>'10 Emise a ŽP'!S15*'10 Emise a ŽP'!S222*'11 Klima'!$E160*'11 Klima'!R$109*R245</f>
        <v>0</v>
      </c>
      <c r="T15" s="288"/>
      <c r="U15" s="288"/>
      <c r="V15" s="288"/>
      <c r="W15" s="288"/>
      <c r="X15" s="288"/>
      <c r="Y15" s="288"/>
      <c r="Z15" s="288"/>
      <c r="AA15" s="288"/>
      <c r="AB15" s="288"/>
      <c r="AC15" s="288"/>
    </row>
    <row r="16" spans="1:29" ht="12" customHeight="1" x14ac:dyDescent="0.3">
      <c r="A16" s="245"/>
      <c r="B16" s="1345" t="str">
        <f t="shared" si="5"/>
        <v>Tramvaj</v>
      </c>
      <c r="C16" s="1353" t="str">
        <f t="shared" si="4"/>
        <v>Znečištění ovzduší (klima)</v>
      </c>
      <c r="D16" s="1346"/>
      <c r="E16" s="1510">
        <f>'10 Emise a ŽP'!E16*'10 Emise a ŽP'!E223*'11 Klima'!$E161*'11 Klima'!D$109*D246</f>
        <v>0</v>
      </c>
      <c r="F16" s="1347">
        <f>'10 Emise a ŽP'!F16*'10 Emise a ŽP'!F223*'11 Klima'!$E161*'11 Klima'!E$109*E246</f>
        <v>0</v>
      </c>
      <c r="G16" s="1347">
        <f>'10 Emise a ŽP'!G16*'10 Emise a ŽP'!G223*'11 Klima'!$E161*'11 Klima'!F$109*F246</f>
        <v>0</v>
      </c>
      <c r="H16" s="1347">
        <f>'10 Emise a ŽP'!H16*'10 Emise a ŽP'!H223*'11 Klima'!$E161*'11 Klima'!G$109*G246</f>
        <v>0</v>
      </c>
      <c r="I16" s="1347">
        <f>'10 Emise a ŽP'!I16*'10 Emise a ŽP'!I223*'11 Klima'!$E161*'11 Klima'!H$109*H246</f>
        <v>0</v>
      </c>
      <c r="J16" s="1347">
        <f>'10 Emise a ŽP'!J16*'10 Emise a ŽP'!J223*'11 Klima'!$E161*'11 Klima'!I$109*I246</f>
        <v>0</v>
      </c>
      <c r="K16" s="1347">
        <f>'10 Emise a ŽP'!K16*'10 Emise a ŽP'!K223*'11 Klima'!$E161*'11 Klima'!J$109*J246</f>
        <v>0</v>
      </c>
      <c r="L16" s="1347">
        <f>'10 Emise a ŽP'!L16*'10 Emise a ŽP'!L223*'11 Klima'!$E161*'11 Klima'!K$109*K246</f>
        <v>0</v>
      </c>
      <c r="M16" s="1347">
        <f>'10 Emise a ŽP'!M16*'10 Emise a ŽP'!M223*'11 Klima'!$E161*'11 Klima'!L$109*L246</f>
        <v>0</v>
      </c>
      <c r="N16" s="1347">
        <f>'10 Emise a ŽP'!N16*'10 Emise a ŽP'!N223*'11 Klima'!$E161*'11 Klima'!M$109*M246</f>
        <v>0</v>
      </c>
      <c r="O16" s="1347">
        <f>'10 Emise a ŽP'!O16*'10 Emise a ŽP'!O223*'11 Klima'!$E161*'11 Klima'!N$109*N246</f>
        <v>0</v>
      </c>
      <c r="P16" s="1347">
        <f>'10 Emise a ŽP'!P16*'10 Emise a ŽP'!P223*'11 Klima'!$E161*'11 Klima'!O$109*O246</f>
        <v>0</v>
      </c>
      <c r="Q16" s="1347">
        <f>'10 Emise a ŽP'!Q16*'10 Emise a ŽP'!Q223*'11 Klima'!$E161*'11 Klima'!P$109*P246</f>
        <v>0</v>
      </c>
      <c r="R16" s="1347">
        <f>'10 Emise a ŽP'!R16*'10 Emise a ŽP'!R223*'11 Klima'!$E161*'11 Klima'!Q$109*Q246</f>
        <v>0</v>
      </c>
      <c r="S16" s="1348">
        <f>'10 Emise a ŽP'!S16*'10 Emise a ŽP'!S223*'11 Klima'!$E161*'11 Klima'!R$109*R246</f>
        <v>0</v>
      </c>
      <c r="T16" s="236"/>
      <c r="U16" s="236"/>
      <c r="V16" s="236"/>
      <c r="W16" s="236"/>
      <c r="X16" s="236"/>
      <c r="Y16" s="236"/>
      <c r="Z16" s="236"/>
      <c r="AA16" s="236"/>
      <c r="AB16" s="236"/>
      <c r="AC16" s="236"/>
    </row>
    <row r="17" spans="1:29" s="289" customFormat="1" ht="12" customHeight="1" x14ac:dyDescent="0.3">
      <c r="A17" s="287"/>
      <c r="B17" s="1345" t="str">
        <f t="shared" si="5"/>
        <v>Metro</v>
      </c>
      <c r="C17" s="1353" t="str">
        <f t="shared" si="4"/>
        <v>Znečištění ovzduší (klima)</v>
      </c>
      <c r="D17" s="1346"/>
      <c r="E17" s="1510">
        <f>'10 Emise a ŽP'!E17*'10 Emise a ŽP'!E224*'11 Klima'!$E162*'11 Klima'!D$109*D247</f>
        <v>0</v>
      </c>
      <c r="F17" s="1347">
        <f>'10 Emise a ŽP'!F17*'10 Emise a ŽP'!F224*'11 Klima'!$E162*'11 Klima'!E$109*E247</f>
        <v>0</v>
      </c>
      <c r="G17" s="1347">
        <f>'10 Emise a ŽP'!G17*'10 Emise a ŽP'!G224*'11 Klima'!$E162*'11 Klima'!F$109*F247</f>
        <v>0</v>
      </c>
      <c r="H17" s="1347">
        <f>'10 Emise a ŽP'!H17*'10 Emise a ŽP'!H224*'11 Klima'!$E162*'11 Klima'!G$109*G247</f>
        <v>0</v>
      </c>
      <c r="I17" s="1347">
        <f>'10 Emise a ŽP'!I17*'10 Emise a ŽP'!I224*'11 Klima'!$E162*'11 Klima'!H$109*H247</f>
        <v>0</v>
      </c>
      <c r="J17" s="1347">
        <f>'10 Emise a ŽP'!J17*'10 Emise a ŽP'!J224*'11 Klima'!$E162*'11 Klima'!I$109*I247</f>
        <v>0</v>
      </c>
      <c r="K17" s="1347">
        <f>'10 Emise a ŽP'!K17*'10 Emise a ŽP'!K224*'11 Klima'!$E162*'11 Klima'!J$109*J247</f>
        <v>0</v>
      </c>
      <c r="L17" s="1347">
        <f>'10 Emise a ŽP'!L17*'10 Emise a ŽP'!L224*'11 Klima'!$E162*'11 Klima'!K$109*K247</f>
        <v>0</v>
      </c>
      <c r="M17" s="1347">
        <f>'10 Emise a ŽP'!M17*'10 Emise a ŽP'!M224*'11 Klima'!$E162*'11 Klima'!L$109*L247</f>
        <v>0</v>
      </c>
      <c r="N17" s="1347">
        <f>'10 Emise a ŽP'!N17*'10 Emise a ŽP'!N224*'11 Klima'!$E162*'11 Klima'!M$109*M247</f>
        <v>0</v>
      </c>
      <c r="O17" s="1347">
        <f>'10 Emise a ŽP'!O17*'10 Emise a ŽP'!O224*'11 Klima'!$E162*'11 Klima'!N$109*N247</f>
        <v>0</v>
      </c>
      <c r="P17" s="1347">
        <f>'10 Emise a ŽP'!P17*'10 Emise a ŽP'!P224*'11 Klima'!$E162*'11 Klima'!O$109*O247</f>
        <v>0</v>
      </c>
      <c r="Q17" s="1347">
        <f>'10 Emise a ŽP'!Q17*'10 Emise a ŽP'!Q224*'11 Klima'!$E162*'11 Klima'!P$109*P247</f>
        <v>0</v>
      </c>
      <c r="R17" s="1347">
        <f>'10 Emise a ŽP'!R17*'10 Emise a ŽP'!R224*'11 Klima'!$E162*'11 Klima'!Q$109*Q247</f>
        <v>0</v>
      </c>
      <c r="S17" s="1348">
        <f>'10 Emise a ŽP'!S17*'10 Emise a ŽP'!S224*'11 Klima'!$E162*'11 Klima'!R$109*R247</f>
        <v>0</v>
      </c>
      <c r="T17" s="288"/>
      <c r="U17" s="288"/>
      <c r="V17" s="288"/>
      <c r="W17" s="288"/>
      <c r="X17" s="288"/>
      <c r="Y17" s="288"/>
      <c r="Z17" s="288"/>
      <c r="AA17" s="288"/>
      <c r="AB17" s="288"/>
      <c r="AC17" s="288"/>
    </row>
    <row r="18" spans="1:29" s="289" customFormat="1" ht="12" customHeight="1" x14ac:dyDescent="0.3">
      <c r="A18" s="287"/>
      <c r="B18" s="1345" t="str">
        <f t="shared" si="5"/>
        <v>IAD</v>
      </c>
      <c r="C18" s="1353" t="str">
        <f t="shared" si="4"/>
        <v>Znečištění ovzduší (klima)</v>
      </c>
      <c r="D18" s="1346"/>
      <c r="E18" s="1510">
        <f>'10 Emise a ŽP'!E18*'10 Emise a ŽP'!E225*'11 Klima'!$E163*'11 Klima'!D$109*D248</f>
        <v>0</v>
      </c>
      <c r="F18" s="1347">
        <f>'10 Emise a ŽP'!F18*'10 Emise a ŽP'!F225*'11 Klima'!$E163*'11 Klima'!E$109*E248</f>
        <v>0</v>
      </c>
      <c r="G18" s="1347">
        <f>'10 Emise a ŽP'!G18*'10 Emise a ŽP'!G225*'11 Klima'!$E163*'11 Klima'!F$109*F248</f>
        <v>0</v>
      </c>
      <c r="H18" s="1347">
        <f>'10 Emise a ŽP'!H18*'10 Emise a ŽP'!H225*'11 Klima'!$E163*'11 Klima'!G$109*G248</f>
        <v>0</v>
      </c>
      <c r="I18" s="1347">
        <f>'10 Emise a ŽP'!I18*'10 Emise a ŽP'!I225*'11 Klima'!$E163*'11 Klima'!H$109*H248</f>
        <v>0</v>
      </c>
      <c r="J18" s="1347">
        <f>'10 Emise a ŽP'!J18*'10 Emise a ŽP'!J225*'11 Klima'!$E163*'11 Klima'!I$109*I248</f>
        <v>0</v>
      </c>
      <c r="K18" s="1347">
        <f>'10 Emise a ŽP'!K18*'10 Emise a ŽP'!K225*'11 Klima'!$E163*'11 Klima'!J$109*J248</f>
        <v>0</v>
      </c>
      <c r="L18" s="1347">
        <f>'10 Emise a ŽP'!L18*'10 Emise a ŽP'!L225*'11 Klima'!$E163*'11 Klima'!K$109*K248</f>
        <v>0</v>
      </c>
      <c r="M18" s="1347">
        <f>'10 Emise a ŽP'!M18*'10 Emise a ŽP'!M225*'11 Klima'!$E163*'11 Klima'!L$109*L248</f>
        <v>0</v>
      </c>
      <c r="N18" s="1347">
        <f>'10 Emise a ŽP'!N18*'10 Emise a ŽP'!N225*'11 Klima'!$E163*'11 Klima'!M$109*M248</f>
        <v>0</v>
      </c>
      <c r="O18" s="1347">
        <f>'10 Emise a ŽP'!O18*'10 Emise a ŽP'!O225*'11 Klima'!$E163*'11 Klima'!N$109*N248</f>
        <v>0</v>
      </c>
      <c r="P18" s="1347">
        <f>'10 Emise a ŽP'!P18*'10 Emise a ŽP'!P225*'11 Klima'!$E163*'11 Klima'!O$109*O248</f>
        <v>0</v>
      </c>
      <c r="Q18" s="1347">
        <f>'10 Emise a ŽP'!Q18*'10 Emise a ŽP'!Q225*'11 Klima'!$E163*'11 Klima'!P$109*P248</f>
        <v>0</v>
      </c>
      <c r="R18" s="1347">
        <f>'10 Emise a ŽP'!R18*'10 Emise a ŽP'!R225*'11 Klima'!$E163*'11 Klima'!Q$109*Q248</f>
        <v>0</v>
      </c>
      <c r="S18" s="1348">
        <f>'10 Emise a ŽP'!S18*'10 Emise a ŽP'!S225*'11 Klima'!$E163*'11 Klima'!R$109*R248</f>
        <v>0</v>
      </c>
      <c r="T18" s="288"/>
      <c r="U18" s="288"/>
      <c r="V18" s="288"/>
      <c r="W18" s="288"/>
      <c r="X18" s="288"/>
      <c r="Y18" s="288"/>
      <c r="Z18" s="288"/>
      <c r="AA18" s="288"/>
      <c r="AB18" s="288"/>
      <c r="AC18" s="288"/>
    </row>
    <row r="19" spans="1:29" s="289" customFormat="1" ht="14.25" x14ac:dyDescent="0.3">
      <c r="A19" s="287"/>
      <c r="B19" s="1360" t="str">
        <f t="shared" si="5"/>
        <v>bez rozlišení</v>
      </c>
      <c r="C19" s="1355" t="str">
        <f t="shared" si="4"/>
        <v>Znečištění ovzduší (klima)</v>
      </c>
      <c r="D19" s="1346"/>
      <c r="E19" s="1510">
        <f>'10 Emise a ŽP'!E19*'10 Emise a ŽP'!E226*'11 Klima'!$E164*'11 Klima'!D$109*D249</f>
        <v>0</v>
      </c>
      <c r="F19" s="1347">
        <f>'10 Emise a ŽP'!F19*'10 Emise a ŽP'!F226*'11 Klima'!$E164*'11 Klima'!E$109*E249</f>
        <v>0</v>
      </c>
      <c r="G19" s="1347">
        <f>'10 Emise a ŽP'!G19*'10 Emise a ŽP'!G226*'11 Klima'!$E164*'11 Klima'!F$109*F249</f>
        <v>0</v>
      </c>
      <c r="H19" s="1347">
        <f>'10 Emise a ŽP'!H19*'10 Emise a ŽP'!H226*'11 Klima'!$E164*'11 Klima'!G$109*G249</f>
        <v>0</v>
      </c>
      <c r="I19" s="1347">
        <f>'10 Emise a ŽP'!I19*'10 Emise a ŽP'!I226*'11 Klima'!$E164*'11 Klima'!H$109*H249</f>
        <v>0</v>
      </c>
      <c r="J19" s="1347">
        <f>'10 Emise a ŽP'!J19*'10 Emise a ŽP'!J226*'11 Klima'!$E164*'11 Klima'!I$109*I249</f>
        <v>0</v>
      </c>
      <c r="K19" s="1347">
        <f>'10 Emise a ŽP'!K19*'10 Emise a ŽP'!K226*'11 Klima'!$E164*'11 Klima'!J$109*J249</f>
        <v>0</v>
      </c>
      <c r="L19" s="1347">
        <f>'10 Emise a ŽP'!L19*'10 Emise a ŽP'!L226*'11 Klima'!$E164*'11 Klima'!K$109*K249</f>
        <v>0</v>
      </c>
      <c r="M19" s="1347">
        <f>'10 Emise a ŽP'!M19*'10 Emise a ŽP'!M226*'11 Klima'!$E164*'11 Klima'!L$109*L249</f>
        <v>0</v>
      </c>
      <c r="N19" s="1347">
        <f>'10 Emise a ŽP'!N19*'10 Emise a ŽP'!N226*'11 Klima'!$E164*'11 Klima'!M$109*M249</f>
        <v>0</v>
      </c>
      <c r="O19" s="1347">
        <f>'10 Emise a ŽP'!O19*'10 Emise a ŽP'!O226*'11 Klima'!$E164*'11 Klima'!N$109*N249</f>
        <v>0</v>
      </c>
      <c r="P19" s="1347">
        <f>'10 Emise a ŽP'!P19*'10 Emise a ŽP'!P226*'11 Klima'!$E164*'11 Klima'!O$109*O249</f>
        <v>0</v>
      </c>
      <c r="Q19" s="1347">
        <f>'10 Emise a ŽP'!Q19*'10 Emise a ŽP'!Q226*'11 Klima'!$E164*'11 Klima'!P$109*P249</f>
        <v>0</v>
      </c>
      <c r="R19" s="1347">
        <f>'10 Emise a ŽP'!R19*'10 Emise a ŽP'!R226*'11 Klima'!$E164*'11 Klima'!Q$109*Q249</f>
        <v>0</v>
      </c>
      <c r="S19" s="1348">
        <f>'10 Emise a ŽP'!S19*'10 Emise a ŽP'!S226*'11 Klima'!$E164*'11 Klima'!R$109*R249</f>
        <v>0</v>
      </c>
      <c r="T19" s="288"/>
      <c r="U19" s="288"/>
      <c r="V19" s="288"/>
      <c r="W19" s="288"/>
      <c r="X19" s="288"/>
      <c r="Y19" s="288"/>
      <c r="Z19" s="288"/>
      <c r="AA19" s="288"/>
      <c r="AB19" s="288"/>
      <c r="AC19" s="288"/>
    </row>
    <row r="20" spans="1:29" ht="15" thickBot="1" x14ac:dyDescent="0.35">
      <c r="A20" s="252"/>
      <c r="B20" s="582"/>
      <c r="C20" s="240" t="str">
        <f t="shared" si="4"/>
        <v>Celkové externí náklady</v>
      </c>
      <c r="D20" s="241"/>
      <c r="E20" s="615">
        <f>SUM(E14:E19)</f>
        <v>0</v>
      </c>
      <c r="F20" s="616">
        <f t="shared" ref="F20:S20" si="6">SUM(F14:F19)</f>
        <v>0</v>
      </c>
      <c r="G20" s="616">
        <f t="shared" si="6"/>
        <v>0</v>
      </c>
      <c r="H20" s="616">
        <f t="shared" si="6"/>
        <v>0</v>
      </c>
      <c r="I20" s="616">
        <f t="shared" si="6"/>
        <v>0</v>
      </c>
      <c r="J20" s="616">
        <f t="shared" si="6"/>
        <v>0</v>
      </c>
      <c r="K20" s="616">
        <f t="shared" si="6"/>
        <v>0</v>
      </c>
      <c r="L20" s="616">
        <f t="shared" si="6"/>
        <v>0</v>
      </c>
      <c r="M20" s="616">
        <f t="shared" si="6"/>
        <v>0</v>
      </c>
      <c r="N20" s="616">
        <f t="shared" si="6"/>
        <v>0</v>
      </c>
      <c r="O20" s="616">
        <f t="shared" si="6"/>
        <v>0</v>
      </c>
      <c r="P20" s="616">
        <f t="shared" si="6"/>
        <v>0</v>
      </c>
      <c r="Q20" s="616">
        <f t="shared" si="6"/>
        <v>0</v>
      </c>
      <c r="R20" s="616">
        <f t="shared" si="6"/>
        <v>0</v>
      </c>
      <c r="S20" s="617">
        <f t="shared" si="6"/>
        <v>0</v>
      </c>
      <c r="T20" s="237"/>
      <c r="U20" s="237"/>
      <c r="V20" s="237"/>
      <c r="W20" s="237"/>
      <c r="X20" s="237"/>
      <c r="Y20" s="237"/>
      <c r="Z20" s="237"/>
      <c r="AA20" s="237"/>
      <c r="AB20" s="237"/>
      <c r="AC20" s="237"/>
    </row>
    <row r="21" spans="1:29" ht="14.25" thickBot="1" x14ac:dyDescent="0.35">
      <c r="A21" s="252"/>
      <c r="B21" s="609"/>
      <c r="C21" s="1356"/>
      <c r="D21" s="1167"/>
      <c r="E21" s="1166"/>
      <c r="F21" s="1166"/>
      <c r="G21" s="1166"/>
      <c r="H21" s="1166"/>
      <c r="I21" s="1166"/>
      <c r="J21" s="1166"/>
      <c r="K21" s="1166"/>
      <c r="L21" s="1166"/>
      <c r="M21" s="1166"/>
      <c r="N21" s="1166"/>
      <c r="O21" s="1166"/>
      <c r="P21" s="1166"/>
      <c r="Q21" s="1166"/>
      <c r="R21" s="1166"/>
      <c r="S21" s="1166"/>
      <c r="T21" s="237"/>
      <c r="U21" s="237"/>
      <c r="V21" s="237"/>
      <c r="W21" s="237"/>
      <c r="X21" s="237"/>
      <c r="Y21" s="237"/>
      <c r="Z21" s="237"/>
      <c r="AA21" s="237"/>
      <c r="AB21" s="237"/>
      <c r="AC21" s="237"/>
    </row>
    <row r="22" spans="1:29" ht="14.25" x14ac:dyDescent="0.3">
      <c r="A22" s="245"/>
      <c r="B22" s="291" t="s">
        <v>57</v>
      </c>
      <c r="C22" s="292" t="str">
        <f>C12</f>
        <v>Externí náklady na CO2, vlivy na klima (CZK)</v>
      </c>
      <c r="D22" s="293"/>
      <c r="E22" s="2119">
        <f>E2</f>
        <v>2026</v>
      </c>
      <c r="F22" s="2121">
        <f t="shared" ref="F22:S22" si="7">E22+1</f>
        <v>2027</v>
      </c>
      <c r="G22" s="2121">
        <f t="shared" si="7"/>
        <v>2028</v>
      </c>
      <c r="H22" s="2121">
        <f t="shared" si="7"/>
        <v>2029</v>
      </c>
      <c r="I22" s="2121">
        <f t="shared" si="7"/>
        <v>2030</v>
      </c>
      <c r="J22" s="2121">
        <f t="shared" si="7"/>
        <v>2031</v>
      </c>
      <c r="K22" s="2121">
        <f t="shared" si="7"/>
        <v>2032</v>
      </c>
      <c r="L22" s="2121">
        <f t="shared" si="7"/>
        <v>2033</v>
      </c>
      <c r="M22" s="2121">
        <f t="shared" si="7"/>
        <v>2034</v>
      </c>
      <c r="N22" s="2121">
        <f t="shared" si="7"/>
        <v>2035</v>
      </c>
      <c r="O22" s="2121">
        <f t="shared" si="7"/>
        <v>2036</v>
      </c>
      <c r="P22" s="2121">
        <f t="shared" si="7"/>
        <v>2037</v>
      </c>
      <c r="Q22" s="2121">
        <f t="shared" si="7"/>
        <v>2038</v>
      </c>
      <c r="R22" s="2121">
        <f t="shared" si="7"/>
        <v>2039</v>
      </c>
      <c r="S22" s="2123">
        <f t="shared" si="7"/>
        <v>2040</v>
      </c>
      <c r="T22" s="247"/>
      <c r="U22" s="247"/>
      <c r="V22" s="247"/>
      <c r="W22" s="247"/>
      <c r="X22" s="247"/>
      <c r="Y22" s="247"/>
      <c r="Z22" s="247"/>
      <c r="AA22" s="247"/>
      <c r="AB22" s="247"/>
      <c r="AC22" s="247"/>
    </row>
    <row r="23" spans="1:29" ht="15" thickBot="1" x14ac:dyDescent="0.35">
      <c r="A23" s="245"/>
      <c r="B23" s="1357" t="s">
        <v>4</v>
      </c>
      <c r="C23" s="1358" t="str">
        <f>IF('0 Úvod'!$M$10="English",Slovnik!$D$283,Slovnik!$C$283)</f>
        <v>Scénář bez projektu</v>
      </c>
      <c r="D23" s="295" t="str">
        <f>D3</f>
        <v>Celkem</v>
      </c>
      <c r="E23" s="2142"/>
      <c r="F23" s="2122"/>
      <c r="G23" s="2122"/>
      <c r="H23" s="2122"/>
      <c r="I23" s="2122"/>
      <c r="J23" s="2122"/>
      <c r="K23" s="2122"/>
      <c r="L23" s="2122"/>
      <c r="M23" s="2122"/>
      <c r="N23" s="2122"/>
      <c r="O23" s="2122"/>
      <c r="P23" s="2122"/>
      <c r="Q23" s="2122"/>
      <c r="R23" s="2122"/>
      <c r="S23" s="2124"/>
      <c r="T23" s="247"/>
      <c r="U23" s="247"/>
      <c r="V23" s="247"/>
      <c r="W23" s="247"/>
      <c r="X23" s="247"/>
      <c r="Y23" s="247"/>
      <c r="Z23" s="247"/>
      <c r="AA23" s="247"/>
      <c r="AB23" s="247"/>
      <c r="AC23" s="247"/>
    </row>
    <row r="24" spans="1:29" ht="12" customHeight="1" x14ac:dyDescent="0.3">
      <c r="A24" s="245"/>
      <c r="B24" s="1359" t="str">
        <f t="shared" ref="B24:C29" si="8">B14</f>
        <v>BUS</v>
      </c>
      <c r="C24" s="1351" t="str">
        <f t="shared" si="8"/>
        <v>Znečištění ovzduší (klima)</v>
      </c>
      <c r="D24" s="1346">
        <f t="shared" ref="D24:D30" si="9">SUM(E24:S24,E34:S34)</f>
        <v>0</v>
      </c>
      <c r="E24" s="1644">
        <f>'10 Emise a ŽP'!E24*'10 Emise a ŽP'!E231*'11 Klima'!$E159*'11 Klima'!D$106*D237</f>
        <v>0</v>
      </c>
      <c r="F24" s="1645">
        <f>'10 Emise a ŽP'!F24*'10 Emise a ŽP'!F231*'11 Klima'!$E159*'11 Klima'!E$106*E237</f>
        <v>0</v>
      </c>
      <c r="G24" s="1645">
        <f>'10 Emise a ŽP'!G24*'10 Emise a ŽP'!G231*'11 Klima'!$E159*'11 Klima'!F$106*F237</f>
        <v>0</v>
      </c>
      <c r="H24" s="1645">
        <f>'10 Emise a ŽP'!H24*'10 Emise a ŽP'!H231*'11 Klima'!$E159*'11 Klima'!G$106*G237</f>
        <v>0</v>
      </c>
      <c r="I24" s="1645">
        <f>'10 Emise a ŽP'!I24*'10 Emise a ŽP'!I231*'11 Klima'!$E159*'11 Klima'!H$106*H237</f>
        <v>0</v>
      </c>
      <c r="J24" s="1645">
        <f>'10 Emise a ŽP'!J24*'10 Emise a ŽP'!J231*'11 Klima'!$E159*'11 Klima'!I$106*I237</f>
        <v>0</v>
      </c>
      <c r="K24" s="1645">
        <f>'10 Emise a ŽP'!K24*'10 Emise a ŽP'!K231*'11 Klima'!$E159*'11 Klima'!J$106*J237</f>
        <v>0</v>
      </c>
      <c r="L24" s="1645">
        <f>'10 Emise a ŽP'!L24*'10 Emise a ŽP'!L231*'11 Klima'!$E159*'11 Klima'!K$106*K237</f>
        <v>0</v>
      </c>
      <c r="M24" s="1645">
        <f>'10 Emise a ŽP'!M24*'10 Emise a ŽP'!M231*'11 Klima'!$E159*'11 Klima'!L$106*L237</f>
        <v>0</v>
      </c>
      <c r="N24" s="1645">
        <f>'10 Emise a ŽP'!N24*'10 Emise a ŽP'!N231*'11 Klima'!$E159*'11 Klima'!M$106*M237</f>
        <v>0</v>
      </c>
      <c r="O24" s="1645">
        <f>'10 Emise a ŽP'!O24*'10 Emise a ŽP'!O231*'11 Klima'!$E159*'11 Klima'!N$106*N237</f>
        <v>0</v>
      </c>
      <c r="P24" s="1645">
        <f>'10 Emise a ŽP'!P24*'10 Emise a ŽP'!P231*'11 Klima'!$E159*'11 Klima'!O$106*O237</f>
        <v>0</v>
      </c>
      <c r="Q24" s="1645">
        <f>'10 Emise a ŽP'!Q24*'10 Emise a ŽP'!Q231*'11 Klima'!$E159*'11 Klima'!P$106*P237</f>
        <v>0</v>
      </c>
      <c r="R24" s="1645">
        <f>'10 Emise a ŽP'!R24*'10 Emise a ŽP'!R231*'11 Klima'!$E159*'11 Klima'!Q$106*Q237</f>
        <v>0</v>
      </c>
      <c r="S24" s="1646">
        <f>'10 Emise a ŽP'!S24*'10 Emise a ŽP'!S231*'11 Klima'!$E159*'11 Klima'!R$106*R237</f>
        <v>0</v>
      </c>
      <c r="T24" s="236"/>
      <c r="U24" s="236"/>
      <c r="V24" s="236"/>
      <c r="W24" s="236"/>
      <c r="X24" s="236"/>
      <c r="Y24" s="236"/>
      <c r="Z24" s="236"/>
      <c r="AA24" s="236"/>
      <c r="AB24" s="236"/>
      <c r="AC24" s="236"/>
    </row>
    <row r="25" spans="1:29" s="289" customFormat="1" ht="12" customHeight="1" x14ac:dyDescent="0.3">
      <c r="A25" s="287"/>
      <c r="B25" s="1345" t="str">
        <f t="shared" si="8"/>
        <v>Trolejbus</v>
      </c>
      <c r="C25" s="1353" t="str">
        <f t="shared" si="8"/>
        <v>Znečištění ovzduší (klima)</v>
      </c>
      <c r="D25" s="1346">
        <f t="shared" si="9"/>
        <v>0</v>
      </c>
      <c r="E25" s="1510">
        <f>'10 Emise a ŽP'!E25*'10 Emise a ŽP'!E232*'11 Klima'!$E160*'11 Klima'!D$106*D238</f>
        <v>0</v>
      </c>
      <c r="F25" s="1347">
        <f>'10 Emise a ŽP'!F25*'10 Emise a ŽP'!F232*'11 Klima'!$E160*'11 Klima'!E$106*E238</f>
        <v>0</v>
      </c>
      <c r="G25" s="1347">
        <f>'10 Emise a ŽP'!G25*'10 Emise a ŽP'!G232*'11 Klima'!$E160*'11 Klima'!F$106*F238</f>
        <v>0</v>
      </c>
      <c r="H25" s="1347">
        <f>'10 Emise a ŽP'!H25*'10 Emise a ŽP'!H232*'11 Klima'!$E160*'11 Klima'!G$106*G238</f>
        <v>0</v>
      </c>
      <c r="I25" s="1347">
        <f>'10 Emise a ŽP'!I25*'10 Emise a ŽP'!I232*'11 Klima'!$E160*'11 Klima'!H$106*H238</f>
        <v>0</v>
      </c>
      <c r="J25" s="1347">
        <f>'10 Emise a ŽP'!J25*'10 Emise a ŽP'!J232*'11 Klima'!$E160*'11 Klima'!I$106*I238</f>
        <v>0</v>
      </c>
      <c r="K25" s="1347">
        <f>'10 Emise a ŽP'!K25*'10 Emise a ŽP'!K232*'11 Klima'!$E160*'11 Klima'!J$106*J238</f>
        <v>0</v>
      </c>
      <c r="L25" s="1347">
        <f>'10 Emise a ŽP'!L25*'10 Emise a ŽP'!L232*'11 Klima'!$E160*'11 Klima'!K$106*K238</f>
        <v>0</v>
      </c>
      <c r="M25" s="1347">
        <f>'10 Emise a ŽP'!M25*'10 Emise a ŽP'!M232*'11 Klima'!$E160*'11 Klima'!L$106*L238</f>
        <v>0</v>
      </c>
      <c r="N25" s="1347">
        <f>'10 Emise a ŽP'!N25*'10 Emise a ŽP'!N232*'11 Klima'!$E160*'11 Klima'!M$106*M238</f>
        <v>0</v>
      </c>
      <c r="O25" s="1347">
        <f>'10 Emise a ŽP'!O25*'10 Emise a ŽP'!O232*'11 Klima'!$E160*'11 Klima'!N$106*N238</f>
        <v>0</v>
      </c>
      <c r="P25" s="1347">
        <f>'10 Emise a ŽP'!P25*'10 Emise a ŽP'!P232*'11 Klima'!$E160*'11 Klima'!O$106*O238</f>
        <v>0</v>
      </c>
      <c r="Q25" s="1347">
        <f>'10 Emise a ŽP'!Q25*'10 Emise a ŽP'!Q232*'11 Klima'!$E160*'11 Klima'!P$106*P238</f>
        <v>0</v>
      </c>
      <c r="R25" s="1347">
        <f>'10 Emise a ŽP'!R25*'10 Emise a ŽP'!R232*'11 Klima'!$E160*'11 Klima'!Q$106*Q238</f>
        <v>0</v>
      </c>
      <c r="S25" s="1348">
        <f>'10 Emise a ŽP'!S25*'10 Emise a ŽP'!S232*'11 Klima'!$E160*'11 Klima'!R$106*R238</f>
        <v>0</v>
      </c>
      <c r="T25" s="288"/>
      <c r="U25" s="288"/>
      <c r="V25" s="288"/>
      <c r="W25" s="288"/>
      <c r="X25" s="288"/>
      <c r="Y25" s="288"/>
      <c r="Z25" s="288"/>
      <c r="AA25" s="288"/>
      <c r="AB25" s="288"/>
      <c r="AC25" s="288"/>
    </row>
    <row r="26" spans="1:29" ht="12" customHeight="1" x14ac:dyDescent="0.3">
      <c r="A26" s="245"/>
      <c r="B26" s="1345" t="str">
        <f t="shared" si="8"/>
        <v>Tramvaj</v>
      </c>
      <c r="C26" s="1353" t="str">
        <f t="shared" si="8"/>
        <v>Znečištění ovzduší (klima)</v>
      </c>
      <c r="D26" s="1346">
        <f t="shared" si="9"/>
        <v>0</v>
      </c>
      <c r="E26" s="1510">
        <f>'10 Emise a ŽP'!E26*'10 Emise a ŽP'!E233*'11 Klima'!$E161*'11 Klima'!D$106*D239</f>
        <v>0</v>
      </c>
      <c r="F26" s="1347">
        <f>'10 Emise a ŽP'!F26*'10 Emise a ŽP'!F233*'11 Klima'!$E161*'11 Klima'!E$106*E239</f>
        <v>0</v>
      </c>
      <c r="G26" s="1347">
        <f>'10 Emise a ŽP'!G26*'10 Emise a ŽP'!G233*'11 Klima'!$E161*'11 Klima'!F$106*F239</f>
        <v>0</v>
      </c>
      <c r="H26" s="1347">
        <f>'10 Emise a ŽP'!H26*'10 Emise a ŽP'!H233*'11 Klima'!$E161*'11 Klima'!G$106*G239</f>
        <v>0</v>
      </c>
      <c r="I26" s="1347">
        <f>'10 Emise a ŽP'!I26*'10 Emise a ŽP'!I233*'11 Klima'!$E161*'11 Klima'!H$106*H239</f>
        <v>0</v>
      </c>
      <c r="J26" s="1347">
        <f>'10 Emise a ŽP'!J26*'10 Emise a ŽP'!J233*'11 Klima'!$E161*'11 Klima'!I$106*I239</f>
        <v>0</v>
      </c>
      <c r="K26" s="1347">
        <f>'10 Emise a ŽP'!K26*'10 Emise a ŽP'!K233*'11 Klima'!$E161*'11 Klima'!J$106*J239</f>
        <v>0</v>
      </c>
      <c r="L26" s="1347">
        <f>'10 Emise a ŽP'!L26*'10 Emise a ŽP'!L233*'11 Klima'!$E161*'11 Klima'!K$106*K239</f>
        <v>0</v>
      </c>
      <c r="M26" s="1347">
        <f>'10 Emise a ŽP'!M26*'10 Emise a ŽP'!M233*'11 Klima'!$E161*'11 Klima'!L$106*L239</f>
        <v>0</v>
      </c>
      <c r="N26" s="1347">
        <f>'10 Emise a ŽP'!N26*'10 Emise a ŽP'!N233*'11 Klima'!$E161*'11 Klima'!M$106*M239</f>
        <v>0</v>
      </c>
      <c r="O26" s="1347">
        <f>'10 Emise a ŽP'!O26*'10 Emise a ŽP'!O233*'11 Klima'!$E161*'11 Klima'!N$106*N239</f>
        <v>0</v>
      </c>
      <c r="P26" s="1347">
        <f>'10 Emise a ŽP'!P26*'10 Emise a ŽP'!P233*'11 Klima'!$E161*'11 Klima'!O$106*O239</f>
        <v>0</v>
      </c>
      <c r="Q26" s="1347">
        <f>'10 Emise a ŽP'!Q26*'10 Emise a ŽP'!Q233*'11 Klima'!$E161*'11 Klima'!P$106*P239</f>
        <v>0</v>
      </c>
      <c r="R26" s="1347">
        <f>'10 Emise a ŽP'!R26*'10 Emise a ŽP'!R233*'11 Klima'!$E161*'11 Klima'!Q$106*Q239</f>
        <v>0</v>
      </c>
      <c r="S26" s="1348">
        <f>'10 Emise a ŽP'!S26*'10 Emise a ŽP'!S233*'11 Klima'!$E161*'11 Klima'!R$106*R239</f>
        <v>0</v>
      </c>
      <c r="T26" s="236"/>
      <c r="U26" s="236"/>
      <c r="V26" s="236"/>
      <c r="W26" s="236"/>
      <c r="X26" s="236"/>
      <c r="Y26" s="236"/>
      <c r="Z26" s="236"/>
      <c r="AA26" s="236"/>
      <c r="AB26" s="236"/>
      <c r="AC26" s="236"/>
    </row>
    <row r="27" spans="1:29" s="289" customFormat="1" ht="12" customHeight="1" x14ac:dyDescent="0.3">
      <c r="A27" s="287"/>
      <c r="B27" s="1345" t="str">
        <f t="shared" si="8"/>
        <v>Metro</v>
      </c>
      <c r="C27" s="1353" t="str">
        <f t="shared" si="8"/>
        <v>Znečištění ovzduší (klima)</v>
      </c>
      <c r="D27" s="1346">
        <f t="shared" si="9"/>
        <v>0</v>
      </c>
      <c r="E27" s="1510">
        <f>'10 Emise a ŽP'!E27*'10 Emise a ŽP'!E234*'11 Klima'!$E162*'11 Klima'!D$106*D240</f>
        <v>0</v>
      </c>
      <c r="F27" s="1347">
        <f>'10 Emise a ŽP'!F27*'10 Emise a ŽP'!F234*'11 Klima'!$E162*'11 Klima'!E$106*E240</f>
        <v>0</v>
      </c>
      <c r="G27" s="1347">
        <f>'10 Emise a ŽP'!G27*'10 Emise a ŽP'!G234*'11 Klima'!$E162*'11 Klima'!F$106*F240</f>
        <v>0</v>
      </c>
      <c r="H27" s="1347">
        <f>'10 Emise a ŽP'!H27*'10 Emise a ŽP'!H234*'11 Klima'!$E162*'11 Klima'!G$106*G240</f>
        <v>0</v>
      </c>
      <c r="I27" s="1347">
        <f>'10 Emise a ŽP'!I27*'10 Emise a ŽP'!I234*'11 Klima'!$E162*'11 Klima'!H$106*H240</f>
        <v>0</v>
      </c>
      <c r="J27" s="1347">
        <f>'10 Emise a ŽP'!J27*'10 Emise a ŽP'!J234*'11 Klima'!$E162*'11 Klima'!I$106*I240</f>
        <v>0</v>
      </c>
      <c r="K27" s="1347">
        <f>'10 Emise a ŽP'!K27*'10 Emise a ŽP'!K234*'11 Klima'!$E162*'11 Klima'!J$106*J240</f>
        <v>0</v>
      </c>
      <c r="L27" s="1347">
        <f>'10 Emise a ŽP'!L27*'10 Emise a ŽP'!L234*'11 Klima'!$E162*'11 Klima'!K$106*K240</f>
        <v>0</v>
      </c>
      <c r="M27" s="1347">
        <f>'10 Emise a ŽP'!M27*'10 Emise a ŽP'!M234*'11 Klima'!$E162*'11 Klima'!L$106*L240</f>
        <v>0</v>
      </c>
      <c r="N27" s="1347">
        <f>'10 Emise a ŽP'!N27*'10 Emise a ŽP'!N234*'11 Klima'!$E162*'11 Klima'!M$106*M240</f>
        <v>0</v>
      </c>
      <c r="O27" s="1347">
        <f>'10 Emise a ŽP'!O27*'10 Emise a ŽP'!O234*'11 Klima'!$E162*'11 Klima'!N$106*N240</f>
        <v>0</v>
      </c>
      <c r="P27" s="1347">
        <f>'10 Emise a ŽP'!P27*'10 Emise a ŽP'!P234*'11 Klima'!$E162*'11 Klima'!O$106*O240</f>
        <v>0</v>
      </c>
      <c r="Q27" s="1347">
        <f>'10 Emise a ŽP'!Q27*'10 Emise a ŽP'!Q234*'11 Klima'!$E162*'11 Klima'!P$106*P240</f>
        <v>0</v>
      </c>
      <c r="R27" s="1347">
        <f>'10 Emise a ŽP'!R27*'10 Emise a ŽP'!R234*'11 Klima'!$E162*'11 Klima'!Q$106*Q240</f>
        <v>0</v>
      </c>
      <c r="S27" s="1348">
        <f>'10 Emise a ŽP'!S27*'10 Emise a ŽP'!S234*'11 Klima'!$E162*'11 Klima'!R$106*R240</f>
        <v>0</v>
      </c>
      <c r="T27" s="288"/>
      <c r="U27" s="288"/>
      <c r="V27" s="288"/>
      <c r="W27" s="288"/>
      <c r="X27" s="288"/>
      <c r="Y27" s="288"/>
      <c r="Z27" s="288"/>
      <c r="AA27" s="288"/>
      <c r="AB27" s="288"/>
      <c r="AC27" s="288"/>
    </row>
    <row r="28" spans="1:29" s="289" customFormat="1" ht="12" customHeight="1" x14ac:dyDescent="0.3">
      <c r="A28" s="287"/>
      <c r="B28" s="1345" t="str">
        <f t="shared" si="8"/>
        <v>IAD</v>
      </c>
      <c r="C28" s="1353" t="str">
        <f t="shared" si="8"/>
        <v>Znečištění ovzduší (klima)</v>
      </c>
      <c r="D28" s="1346">
        <f t="shared" si="9"/>
        <v>0</v>
      </c>
      <c r="E28" s="1510">
        <f>'10 Emise a ŽP'!E28*'10 Emise a ŽP'!E235*'11 Klima'!$E163*'11 Klima'!D$106*D241</f>
        <v>0</v>
      </c>
      <c r="F28" s="1347">
        <f>'10 Emise a ŽP'!F28*'10 Emise a ŽP'!F235*'11 Klima'!$E163*'11 Klima'!E$106*E241</f>
        <v>0</v>
      </c>
      <c r="G28" s="1347">
        <f>'10 Emise a ŽP'!G28*'10 Emise a ŽP'!G235*'11 Klima'!$E163*'11 Klima'!F$106*F241</f>
        <v>0</v>
      </c>
      <c r="H28" s="1347">
        <f>'10 Emise a ŽP'!H28*'10 Emise a ŽP'!H235*'11 Klima'!$E163*'11 Klima'!G$106*G241</f>
        <v>0</v>
      </c>
      <c r="I28" s="1347">
        <f>'10 Emise a ŽP'!I28*'10 Emise a ŽP'!I235*'11 Klima'!$E163*'11 Klima'!H$106*H241</f>
        <v>0</v>
      </c>
      <c r="J28" s="1347">
        <f>'10 Emise a ŽP'!J28*'10 Emise a ŽP'!J235*'11 Klima'!$E163*'11 Klima'!I$106*I241</f>
        <v>0</v>
      </c>
      <c r="K28" s="1347">
        <f>'10 Emise a ŽP'!K28*'10 Emise a ŽP'!K235*'11 Klima'!$E163*'11 Klima'!J$106*J241</f>
        <v>0</v>
      </c>
      <c r="L28" s="1347">
        <f>'10 Emise a ŽP'!L28*'10 Emise a ŽP'!L235*'11 Klima'!$E163*'11 Klima'!K$106*K241</f>
        <v>0</v>
      </c>
      <c r="M28" s="1347">
        <f>'10 Emise a ŽP'!M28*'10 Emise a ŽP'!M235*'11 Klima'!$E163*'11 Klima'!L$106*L241</f>
        <v>0</v>
      </c>
      <c r="N28" s="1347">
        <f>'10 Emise a ŽP'!N28*'10 Emise a ŽP'!N235*'11 Klima'!$E163*'11 Klima'!M$106*M241</f>
        <v>0</v>
      </c>
      <c r="O28" s="1347">
        <f>'10 Emise a ŽP'!O28*'10 Emise a ŽP'!O235*'11 Klima'!$E163*'11 Klima'!N$106*N241</f>
        <v>0</v>
      </c>
      <c r="P28" s="1347">
        <f>'10 Emise a ŽP'!P28*'10 Emise a ŽP'!P235*'11 Klima'!$E163*'11 Klima'!O$106*O241</f>
        <v>0</v>
      </c>
      <c r="Q28" s="1347">
        <f>'10 Emise a ŽP'!Q28*'10 Emise a ŽP'!Q235*'11 Klima'!$E163*'11 Klima'!P$106*P241</f>
        <v>0</v>
      </c>
      <c r="R28" s="1347">
        <f>'10 Emise a ŽP'!R28*'10 Emise a ŽP'!R235*'11 Klima'!$E163*'11 Klima'!Q$106*Q241</f>
        <v>0</v>
      </c>
      <c r="S28" s="1348">
        <f>'10 Emise a ŽP'!S28*'10 Emise a ŽP'!S235*'11 Klima'!$E163*'11 Klima'!R$106*R241</f>
        <v>0</v>
      </c>
      <c r="T28" s="288"/>
      <c r="U28" s="288"/>
      <c r="V28" s="288"/>
      <c r="W28" s="288"/>
      <c r="X28" s="288"/>
      <c r="Y28" s="288"/>
      <c r="Z28" s="288"/>
      <c r="AA28" s="288"/>
      <c r="AB28" s="288"/>
      <c r="AC28" s="288"/>
    </row>
    <row r="29" spans="1:29" s="289" customFormat="1" ht="12" customHeight="1" x14ac:dyDescent="0.3">
      <c r="A29" s="287"/>
      <c r="B29" s="1360" t="str">
        <f t="shared" si="8"/>
        <v>bez rozlišení</v>
      </c>
      <c r="C29" s="1355" t="str">
        <f t="shared" si="8"/>
        <v>Znečištění ovzduší (klima)</v>
      </c>
      <c r="D29" s="1346">
        <f t="shared" si="9"/>
        <v>0</v>
      </c>
      <c r="E29" s="1510">
        <f>'10 Emise a ŽP'!E29*'10 Emise a ŽP'!E236*'11 Klima'!$E164*'11 Klima'!D$106*D242</f>
        <v>0</v>
      </c>
      <c r="F29" s="1347">
        <f>'10 Emise a ŽP'!F29*'10 Emise a ŽP'!F236*'11 Klima'!$E164*'11 Klima'!E$106*E242</f>
        <v>0</v>
      </c>
      <c r="G29" s="1347">
        <f>'10 Emise a ŽP'!G29*'10 Emise a ŽP'!G236*'11 Klima'!$E164*'11 Klima'!F$106*F242</f>
        <v>0</v>
      </c>
      <c r="H29" s="1347">
        <f>'10 Emise a ŽP'!H29*'10 Emise a ŽP'!H236*'11 Klima'!$E164*'11 Klima'!G$106*G242</f>
        <v>0</v>
      </c>
      <c r="I29" s="1347">
        <f>'10 Emise a ŽP'!I29*'10 Emise a ŽP'!I236*'11 Klima'!$E164*'11 Klima'!H$106*H242</f>
        <v>0</v>
      </c>
      <c r="J29" s="1347">
        <f>'10 Emise a ŽP'!J29*'10 Emise a ŽP'!J236*'11 Klima'!$E164*'11 Klima'!I$106*I242</f>
        <v>0</v>
      </c>
      <c r="K29" s="1347">
        <f>'10 Emise a ŽP'!K29*'10 Emise a ŽP'!K236*'11 Klima'!$E164*'11 Klima'!J$106*J242</f>
        <v>0</v>
      </c>
      <c r="L29" s="1347">
        <f>'10 Emise a ŽP'!L29*'10 Emise a ŽP'!L236*'11 Klima'!$E164*'11 Klima'!K$106*K242</f>
        <v>0</v>
      </c>
      <c r="M29" s="1347">
        <f>'10 Emise a ŽP'!M29*'10 Emise a ŽP'!M236*'11 Klima'!$E164*'11 Klima'!L$106*L242</f>
        <v>0</v>
      </c>
      <c r="N29" s="1347">
        <f>'10 Emise a ŽP'!N29*'10 Emise a ŽP'!N236*'11 Klima'!$E164*'11 Klima'!M$106*M242</f>
        <v>0</v>
      </c>
      <c r="O29" s="1347">
        <f>'10 Emise a ŽP'!O29*'10 Emise a ŽP'!O236*'11 Klima'!$E164*'11 Klima'!N$106*N242</f>
        <v>0</v>
      </c>
      <c r="P29" s="1347">
        <f>'10 Emise a ŽP'!P29*'10 Emise a ŽP'!P236*'11 Klima'!$E164*'11 Klima'!O$106*O242</f>
        <v>0</v>
      </c>
      <c r="Q29" s="1347">
        <f>'10 Emise a ŽP'!Q29*'10 Emise a ŽP'!Q236*'11 Klima'!$E164*'11 Klima'!P$106*P242</f>
        <v>0</v>
      </c>
      <c r="R29" s="1347">
        <f>'10 Emise a ŽP'!R29*'10 Emise a ŽP'!R236*'11 Klima'!$E164*'11 Klima'!Q$106*Q242</f>
        <v>0</v>
      </c>
      <c r="S29" s="1348">
        <f>'10 Emise a ŽP'!S29*'10 Emise a ŽP'!S236*'11 Klima'!$E164*'11 Klima'!R$106*R242</f>
        <v>0</v>
      </c>
      <c r="T29" s="288"/>
      <c r="U29" s="288"/>
      <c r="V29" s="288"/>
      <c r="W29" s="288"/>
      <c r="X29" s="288"/>
      <c r="Y29" s="288"/>
      <c r="Z29" s="288"/>
      <c r="AA29" s="288"/>
      <c r="AB29" s="288"/>
      <c r="AC29" s="288"/>
    </row>
    <row r="30" spans="1:29" ht="12.75" customHeight="1" thickBot="1" x14ac:dyDescent="0.35">
      <c r="A30" s="245"/>
      <c r="B30" s="1361"/>
      <c r="C30" s="243" t="str">
        <f>C20</f>
        <v>Celkové externí náklady</v>
      </c>
      <c r="D30" s="273">
        <f t="shared" si="9"/>
        <v>0</v>
      </c>
      <c r="E30" s="483">
        <f>SUM(E24:E29)</f>
        <v>0</v>
      </c>
      <c r="F30" s="484">
        <f t="shared" ref="F30:S30" si="10">SUM(F24:F29)</f>
        <v>0</v>
      </c>
      <c r="G30" s="484">
        <f t="shared" si="10"/>
        <v>0</v>
      </c>
      <c r="H30" s="484">
        <f t="shared" si="10"/>
        <v>0</v>
      </c>
      <c r="I30" s="484">
        <f t="shared" si="10"/>
        <v>0</v>
      </c>
      <c r="J30" s="484">
        <f t="shared" si="10"/>
        <v>0</v>
      </c>
      <c r="K30" s="484">
        <f t="shared" si="10"/>
        <v>0</v>
      </c>
      <c r="L30" s="484">
        <f t="shared" si="10"/>
        <v>0</v>
      </c>
      <c r="M30" s="484">
        <f t="shared" si="10"/>
        <v>0</v>
      </c>
      <c r="N30" s="484">
        <f t="shared" si="10"/>
        <v>0</v>
      </c>
      <c r="O30" s="484">
        <f t="shared" si="10"/>
        <v>0</v>
      </c>
      <c r="P30" s="484">
        <f t="shared" si="10"/>
        <v>0</v>
      </c>
      <c r="Q30" s="484">
        <f t="shared" si="10"/>
        <v>0</v>
      </c>
      <c r="R30" s="484">
        <f t="shared" si="10"/>
        <v>0</v>
      </c>
      <c r="S30" s="485">
        <f t="shared" si="10"/>
        <v>0</v>
      </c>
      <c r="T30" s="237"/>
      <c r="U30" s="237"/>
      <c r="V30" s="237"/>
      <c r="W30" s="237"/>
      <c r="X30" s="237"/>
      <c r="Y30" s="237"/>
      <c r="Z30" s="237"/>
      <c r="AA30" s="237"/>
      <c r="AB30" s="237"/>
      <c r="AC30" s="237"/>
    </row>
    <row r="31" spans="1:29" ht="12.75" customHeight="1" thickBot="1" x14ac:dyDescent="0.35">
      <c r="A31" s="245"/>
      <c r="B31" s="1349"/>
      <c r="C31" s="1165"/>
      <c r="D31" s="1167"/>
      <c r="E31" s="1167"/>
      <c r="F31" s="1167"/>
      <c r="G31" s="1167"/>
      <c r="H31" s="1167"/>
      <c r="I31" s="1167"/>
      <c r="J31" s="1167"/>
      <c r="K31" s="1167"/>
      <c r="L31" s="1167"/>
      <c r="M31" s="1167"/>
      <c r="N31" s="1167"/>
      <c r="O31" s="1167"/>
      <c r="P31" s="1167"/>
      <c r="Q31" s="1167"/>
      <c r="R31" s="1167"/>
      <c r="S31" s="1167"/>
      <c r="T31" s="236"/>
      <c r="U31" s="236"/>
      <c r="V31" s="236"/>
      <c r="W31" s="236"/>
      <c r="X31" s="236"/>
      <c r="Y31" s="236"/>
      <c r="Z31" s="236"/>
      <c r="AA31" s="236"/>
      <c r="AB31" s="236"/>
      <c r="AC31" s="236"/>
    </row>
    <row r="32" spans="1:29" ht="12.75" customHeight="1" x14ac:dyDescent="0.3">
      <c r="A32" s="245"/>
      <c r="B32" s="291" t="str">
        <f>B22</f>
        <v>11.2.</v>
      </c>
      <c r="C32" s="292" t="str">
        <f>C22</f>
        <v>Externí náklady na CO2, vlivy na klima (CZK)</v>
      </c>
      <c r="D32" s="293"/>
      <c r="E32" s="2119">
        <f>S22+1</f>
        <v>2041</v>
      </c>
      <c r="F32" s="2121">
        <f t="shared" ref="F32:S32" si="11">E32+1</f>
        <v>2042</v>
      </c>
      <c r="G32" s="2121">
        <f t="shared" si="11"/>
        <v>2043</v>
      </c>
      <c r="H32" s="2121">
        <f t="shared" si="11"/>
        <v>2044</v>
      </c>
      <c r="I32" s="2121">
        <f t="shared" si="11"/>
        <v>2045</v>
      </c>
      <c r="J32" s="2121">
        <f t="shared" si="11"/>
        <v>2046</v>
      </c>
      <c r="K32" s="2121">
        <f t="shared" si="11"/>
        <v>2047</v>
      </c>
      <c r="L32" s="2121">
        <f t="shared" si="11"/>
        <v>2048</v>
      </c>
      <c r="M32" s="2121">
        <f t="shared" si="11"/>
        <v>2049</v>
      </c>
      <c r="N32" s="2121">
        <f t="shared" si="11"/>
        <v>2050</v>
      </c>
      <c r="O32" s="2121">
        <f t="shared" si="11"/>
        <v>2051</v>
      </c>
      <c r="P32" s="2121">
        <f t="shared" si="11"/>
        <v>2052</v>
      </c>
      <c r="Q32" s="2121">
        <f t="shared" si="11"/>
        <v>2053</v>
      </c>
      <c r="R32" s="2121">
        <f t="shared" si="11"/>
        <v>2054</v>
      </c>
      <c r="S32" s="2123">
        <f t="shared" si="11"/>
        <v>2055</v>
      </c>
      <c r="T32" s="247"/>
      <c r="U32" s="247"/>
      <c r="V32" s="247"/>
      <c r="W32" s="247"/>
      <c r="X32" s="247"/>
      <c r="Y32" s="247"/>
      <c r="Z32" s="247"/>
      <c r="AA32" s="247"/>
      <c r="AB32" s="247"/>
      <c r="AC32" s="247"/>
    </row>
    <row r="33" spans="1:29" ht="12.75" customHeight="1" thickBot="1" x14ac:dyDescent="0.35">
      <c r="A33" s="245"/>
      <c r="B33" s="1357" t="s">
        <v>5</v>
      </c>
      <c r="C33" s="1358" t="str">
        <f t="shared" ref="C33:C40" si="12">C23</f>
        <v>Scénář bez projektu</v>
      </c>
      <c r="D33" s="295"/>
      <c r="E33" s="2142">
        <f>S23+1</f>
        <v>1</v>
      </c>
      <c r="F33" s="2122"/>
      <c r="G33" s="2122"/>
      <c r="H33" s="2122"/>
      <c r="I33" s="2122"/>
      <c r="J33" s="2122"/>
      <c r="K33" s="2122"/>
      <c r="L33" s="2122"/>
      <c r="M33" s="2122"/>
      <c r="N33" s="2122"/>
      <c r="O33" s="2122"/>
      <c r="P33" s="2122"/>
      <c r="Q33" s="2122"/>
      <c r="R33" s="2122"/>
      <c r="S33" s="2124"/>
      <c r="T33" s="247"/>
      <c r="U33" s="247"/>
      <c r="V33" s="247"/>
      <c r="W33" s="247"/>
      <c r="X33" s="247"/>
      <c r="Y33" s="247"/>
      <c r="Z33" s="247"/>
      <c r="AA33" s="247"/>
      <c r="AB33" s="247"/>
      <c r="AC33" s="247"/>
    </row>
    <row r="34" spans="1:29" ht="12.75" customHeight="1" x14ac:dyDescent="0.3">
      <c r="A34" s="245"/>
      <c r="B34" s="1359" t="str">
        <f t="shared" ref="B34:B39" si="13">B24</f>
        <v>BUS</v>
      </c>
      <c r="C34" s="1351" t="str">
        <f t="shared" si="12"/>
        <v>Znečištění ovzduší (klima)</v>
      </c>
      <c r="D34" s="1346"/>
      <c r="E34" s="1644">
        <f>'10 Emise a ŽP'!E34*'10 Emise a ŽP'!E241*'11 Klima'!$E159*'11 Klima'!D$109*D244</f>
        <v>0</v>
      </c>
      <c r="F34" s="1645">
        <f>'10 Emise a ŽP'!F34*'10 Emise a ŽP'!F241*'11 Klima'!$E159*'11 Klima'!E$109*E244</f>
        <v>0</v>
      </c>
      <c r="G34" s="1645">
        <f>'10 Emise a ŽP'!G34*'10 Emise a ŽP'!G241*'11 Klima'!$E159*'11 Klima'!F$109*F244</f>
        <v>0</v>
      </c>
      <c r="H34" s="1645">
        <f>'10 Emise a ŽP'!H34*'10 Emise a ŽP'!H241*'11 Klima'!$E159*'11 Klima'!G$109*G244</f>
        <v>0</v>
      </c>
      <c r="I34" s="1645">
        <f>'10 Emise a ŽP'!I34*'10 Emise a ŽP'!I241*'11 Klima'!$E159*'11 Klima'!H$109*H244</f>
        <v>0</v>
      </c>
      <c r="J34" s="1645">
        <f>'10 Emise a ŽP'!J34*'10 Emise a ŽP'!J241*'11 Klima'!$E159*'11 Klima'!I$109*I244</f>
        <v>0</v>
      </c>
      <c r="K34" s="1645">
        <f>'10 Emise a ŽP'!K34*'10 Emise a ŽP'!K241*'11 Klima'!$E159*'11 Klima'!J$109*J244</f>
        <v>0</v>
      </c>
      <c r="L34" s="1645">
        <f>'10 Emise a ŽP'!L34*'10 Emise a ŽP'!L241*'11 Klima'!$E159*'11 Klima'!K$109*K244</f>
        <v>0</v>
      </c>
      <c r="M34" s="1645">
        <f>'10 Emise a ŽP'!M34*'10 Emise a ŽP'!M241*'11 Klima'!$E159*'11 Klima'!L$109*L244</f>
        <v>0</v>
      </c>
      <c r="N34" s="1645">
        <f>'10 Emise a ŽP'!N34*'10 Emise a ŽP'!N241*'11 Klima'!$E159*'11 Klima'!M$109*M244</f>
        <v>0</v>
      </c>
      <c r="O34" s="1645">
        <f>'10 Emise a ŽP'!O34*'10 Emise a ŽP'!O241*'11 Klima'!$E159*'11 Klima'!N$109*N244</f>
        <v>0</v>
      </c>
      <c r="P34" s="1645">
        <f>'10 Emise a ŽP'!P34*'10 Emise a ŽP'!P241*'11 Klima'!$E159*'11 Klima'!O$109*O244</f>
        <v>0</v>
      </c>
      <c r="Q34" s="1645">
        <f>'10 Emise a ŽP'!Q34*'10 Emise a ŽP'!Q241*'11 Klima'!$E159*'11 Klima'!P$109*P244</f>
        <v>0</v>
      </c>
      <c r="R34" s="1645">
        <f>'10 Emise a ŽP'!R34*'10 Emise a ŽP'!R241*'11 Klima'!$E159*'11 Klima'!Q$109*Q244</f>
        <v>0</v>
      </c>
      <c r="S34" s="1646">
        <f>'10 Emise a ŽP'!S34*'10 Emise a ŽP'!S241*'11 Klima'!$E159*'11 Klima'!R$109*R244</f>
        <v>0</v>
      </c>
      <c r="T34" s="236"/>
      <c r="U34" s="236"/>
      <c r="V34" s="236"/>
      <c r="W34" s="236"/>
      <c r="X34" s="236"/>
      <c r="Y34" s="236"/>
      <c r="Z34" s="236"/>
      <c r="AA34" s="236"/>
      <c r="AB34" s="236"/>
      <c r="AC34" s="236"/>
    </row>
    <row r="35" spans="1:29" s="289" customFormat="1" ht="12.75" customHeight="1" x14ac:dyDescent="0.3">
      <c r="A35" s="287"/>
      <c r="B35" s="1345" t="str">
        <f t="shared" si="13"/>
        <v>Trolejbus</v>
      </c>
      <c r="C35" s="1353" t="str">
        <f t="shared" si="12"/>
        <v>Znečištění ovzduší (klima)</v>
      </c>
      <c r="D35" s="1346"/>
      <c r="E35" s="1510">
        <f>'10 Emise a ŽP'!E35*'10 Emise a ŽP'!E242*'11 Klima'!$E160*'11 Klima'!D$109*D245</f>
        <v>0</v>
      </c>
      <c r="F35" s="1347">
        <f>'10 Emise a ŽP'!F35*'10 Emise a ŽP'!F242*'11 Klima'!$E160*'11 Klima'!E$109*E245</f>
        <v>0</v>
      </c>
      <c r="G35" s="1347">
        <f>'10 Emise a ŽP'!G35*'10 Emise a ŽP'!G242*'11 Klima'!$E160*'11 Klima'!F$109*F245</f>
        <v>0</v>
      </c>
      <c r="H35" s="1347">
        <f>'10 Emise a ŽP'!H35*'10 Emise a ŽP'!H242*'11 Klima'!$E160*'11 Klima'!G$109*G245</f>
        <v>0</v>
      </c>
      <c r="I35" s="1347">
        <f>'10 Emise a ŽP'!I35*'10 Emise a ŽP'!I242*'11 Klima'!$E160*'11 Klima'!H$109*H245</f>
        <v>0</v>
      </c>
      <c r="J35" s="1347">
        <f>'10 Emise a ŽP'!J35*'10 Emise a ŽP'!J242*'11 Klima'!$E160*'11 Klima'!I$109*I245</f>
        <v>0</v>
      </c>
      <c r="K35" s="1347">
        <f>'10 Emise a ŽP'!K35*'10 Emise a ŽP'!K242*'11 Klima'!$E160*'11 Klima'!J$109*J245</f>
        <v>0</v>
      </c>
      <c r="L35" s="1347">
        <f>'10 Emise a ŽP'!L35*'10 Emise a ŽP'!L242*'11 Klima'!$E160*'11 Klima'!K$109*K245</f>
        <v>0</v>
      </c>
      <c r="M35" s="1347">
        <f>'10 Emise a ŽP'!M35*'10 Emise a ŽP'!M242*'11 Klima'!$E160*'11 Klima'!L$109*L245</f>
        <v>0</v>
      </c>
      <c r="N35" s="1347">
        <f>'10 Emise a ŽP'!N35*'10 Emise a ŽP'!N242*'11 Klima'!$E160*'11 Klima'!M$109*M245</f>
        <v>0</v>
      </c>
      <c r="O35" s="1347">
        <f>'10 Emise a ŽP'!O35*'10 Emise a ŽP'!O242*'11 Klima'!$E160*'11 Klima'!N$109*N245</f>
        <v>0</v>
      </c>
      <c r="P35" s="1347">
        <f>'10 Emise a ŽP'!P35*'10 Emise a ŽP'!P242*'11 Klima'!$E160*'11 Klima'!O$109*O245</f>
        <v>0</v>
      </c>
      <c r="Q35" s="1347">
        <f>'10 Emise a ŽP'!Q35*'10 Emise a ŽP'!Q242*'11 Klima'!$E160*'11 Klima'!P$109*P245</f>
        <v>0</v>
      </c>
      <c r="R35" s="1347">
        <f>'10 Emise a ŽP'!R35*'10 Emise a ŽP'!R242*'11 Klima'!$E160*'11 Klima'!Q$109*Q245</f>
        <v>0</v>
      </c>
      <c r="S35" s="1348">
        <f>'10 Emise a ŽP'!S35*'10 Emise a ŽP'!S242*'11 Klima'!$E160*'11 Klima'!R$109*R245</f>
        <v>0</v>
      </c>
      <c r="T35" s="288"/>
      <c r="U35" s="288"/>
      <c r="V35" s="288"/>
      <c r="W35" s="288"/>
      <c r="X35" s="288"/>
      <c r="Y35" s="288"/>
      <c r="Z35" s="288"/>
      <c r="AA35" s="288"/>
      <c r="AB35" s="288"/>
      <c r="AC35" s="288"/>
    </row>
    <row r="36" spans="1:29" ht="12.75" customHeight="1" x14ac:dyDescent="0.3">
      <c r="A36" s="245"/>
      <c r="B36" s="1345" t="str">
        <f t="shared" si="13"/>
        <v>Tramvaj</v>
      </c>
      <c r="C36" s="1353" t="str">
        <f t="shared" si="12"/>
        <v>Znečištění ovzduší (klima)</v>
      </c>
      <c r="D36" s="1346"/>
      <c r="E36" s="1510">
        <f>'10 Emise a ŽP'!E36*'10 Emise a ŽP'!E243*'11 Klima'!$E161*'11 Klima'!D$109*D246</f>
        <v>0</v>
      </c>
      <c r="F36" s="1347">
        <f>'10 Emise a ŽP'!F36*'10 Emise a ŽP'!F243*'11 Klima'!$E161*'11 Klima'!E$109*E246</f>
        <v>0</v>
      </c>
      <c r="G36" s="1347">
        <f>'10 Emise a ŽP'!G36*'10 Emise a ŽP'!G243*'11 Klima'!$E161*'11 Klima'!F$109*F246</f>
        <v>0</v>
      </c>
      <c r="H36" s="1347">
        <f>'10 Emise a ŽP'!H36*'10 Emise a ŽP'!H243*'11 Klima'!$E161*'11 Klima'!G$109*G246</f>
        <v>0</v>
      </c>
      <c r="I36" s="1347">
        <f>'10 Emise a ŽP'!I36*'10 Emise a ŽP'!I243*'11 Klima'!$E161*'11 Klima'!H$109*H246</f>
        <v>0</v>
      </c>
      <c r="J36" s="1347">
        <f>'10 Emise a ŽP'!J36*'10 Emise a ŽP'!J243*'11 Klima'!$E161*'11 Klima'!I$109*I246</f>
        <v>0</v>
      </c>
      <c r="K36" s="1347">
        <f>'10 Emise a ŽP'!K36*'10 Emise a ŽP'!K243*'11 Klima'!$E161*'11 Klima'!J$109*J246</f>
        <v>0</v>
      </c>
      <c r="L36" s="1347">
        <f>'10 Emise a ŽP'!L36*'10 Emise a ŽP'!L243*'11 Klima'!$E161*'11 Klima'!K$109*K246</f>
        <v>0</v>
      </c>
      <c r="M36" s="1347">
        <f>'10 Emise a ŽP'!M36*'10 Emise a ŽP'!M243*'11 Klima'!$E161*'11 Klima'!L$109*L246</f>
        <v>0</v>
      </c>
      <c r="N36" s="1347">
        <f>'10 Emise a ŽP'!N36*'10 Emise a ŽP'!N243*'11 Klima'!$E161*'11 Klima'!M$109*M246</f>
        <v>0</v>
      </c>
      <c r="O36" s="1347">
        <f>'10 Emise a ŽP'!O36*'10 Emise a ŽP'!O243*'11 Klima'!$E161*'11 Klima'!N$109*N246</f>
        <v>0</v>
      </c>
      <c r="P36" s="1347">
        <f>'10 Emise a ŽP'!P36*'10 Emise a ŽP'!P243*'11 Klima'!$E161*'11 Klima'!O$109*O246</f>
        <v>0</v>
      </c>
      <c r="Q36" s="1347">
        <f>'10 Emise a ŽP'!Q36*'10 Emise a ŽP'!Q243*'11 Klima'!$E161*'11 Klima'!P$109*P246</f>
        <v>0</v>
      </c>
      <c r="R36" s="1347">
        <f>'10 Emise a ŽP'!R36*'10 Emise a ŽP'!R243*'11 Klima'!$E161*'11 Klima'!Q$109*Q246</f>
        <v>0</v>
      </c>
      <c r="S36" s="1348">
        <f>'10 Emise a ŽP'!S36*'10 Emise a ŽP'!S243*'11 Klima'!$E161*'11 Klima'!R$109*R246</f>
        <v>0</v>
      </c>
      <c r="T36" s="236"/>
      <c r="U36" s="236"/>
      <c r="V36" s="236"/>
      <c r="W36" s="236"/>
      <c r="X36" s="236"/>
      <c r="Y36" s="236"/>
      <c r="Z36" s="236"/>
      <c r="AA36" s="236"/>
      <c r="AB36" s="236"/>
      <c r="AC36" s="236"/>
    </row>
    <row r="37" spans="1:29" s="289" customFormat="1" ht="12.75" customHeight="1" x14ac:dyDescent="0.3">
      <c r="A37" s="287"/>
      <c r="B37" s="1345" t="str">
        <f t="shared" si="13"/>
        <v>Metro</v>
      </c>
      <c r="C37" s="1353" t="str">
        <f t="shared" si="12"/>
        <v>Znečištění ovzduší (klima)</v>
      </c>
      <c r="D37" s="1346"/>
      <c r="E37" s="1510">
        <f>'10 Emise a ŽP'!E37*'10 Emise a ŽP'!E244*'11 Klima'!$E162*'11 Klima'!D$109*D247</f>
        <v>0</v>
      </c>
      <c r="F37" s="1347">
        <f>'10 Emise a ŽP'!F37*'10 Emise a ŽP'!F244*'11 Klima'!$E162*'11 Klima'!E$109*E247</f>
        <v>0</v>
      </c>
      <c r="G37" s="1347">
        <f>'10 Emise a ŽP'!G37*'10 Emise a ŽP'!G244*'11 Klima'!$E162*'11 Klima'!F$109*F247</f>
        <v>0</v>
      </c>
      <c r="H37" s="1347">
        <f>'10 Emise a ŽP'!H37*'10 Emise a ŽP'!H244*'11 Klima'!$E162*'11 Klima'!G$109*G247</f>
        <v>0</v>
      </c>
      <c r="I37" s="1347">
        <f>'10 Emise a ŽP'!I37*'10 Emise a ŽP'!I244*'11 Klima'!$E162*'11 Klima'!H$109*H247</f>
        <v>0</v>
      </c>
      <c r="J37" s="1347">
        <f>'10 Emise a ŽP'!J37*'10 Emise a ŽP'!J244*'11 Klima'!$E162*'11 Klima'!I$109*I247</f>
        <v>0</v>
      </c>
      <c r="K37" s="1347">
        <f>'10 Emise a ŽP'!K37*'10 Emise a ŽP'!K244*'11 Klima'!$E162*'11 Klima'!J$109*J247</f>
        <v>0</v>
      </c>
      <c r="L37" s="1347">
        <f>'10 Emise a ŽP'!L37*'10 Emise a ŽP'!L244*'11 Klima'!$E162*'11 Klima'!K$109*K247</f>
        <v>0</v>
      </c>
      <c r="M37" s="1347">
        <f>'10 Emise a ŽP'!M37*'10 Emise a ŽP'!M244*'11 Klima'!$E162*'11 Klima'!L$109*L247</f>
        <v>0</v>
      </c>
      <c r="N37" s="1347">
        <f>'10 Emise a ŽP'!N37*'10 Emise a ŽP'!N244*'11 Klima'!$E162*'11 Klima'!M$109*M247</f>
        <v>0</v>
      </c>
      <c r="O37" s="1347">
        <f>'10 Emise a ŽP'!O37*'10 Emise a ŽP'!O244*'11 Klima'!$E162*'11 Klima'!N$109*N247</f>
        <v>0</v>
      </c>
      <c r="P37" s="1347">
        <f>'10 Emise a ŽP'!P37*'10 Emise a ŽP'!P244*'11 Klima'!$E162*'11 Klima'!O$109*O247</f>
        <v>0</v>
      </c>
      <c r="Q37" s="1347">
        <f>'10 Emise a ŽP'!Q37*'10 Emise a ŽP'!Q244*'11 Klima'!$E162*'11 Klima'!P$109*P247</f>
        <v>0</v>
      </c>
      <c r="R37" s="1347">
        <f>'10 Emise a ŽP'!R37*'10 Emise a ŽP'!R244*'11 Klima'!$E162*'11 Klima'!Q$109*Q247</f>
        <v>0</v>
      </c>
      <c r="S37" s="1348">
        <f>'10 Emise a ŽP'!S37*'10 Emise a ŽP'!S244*'11 Klima'!$E162*'11 Klima'!R$109*R247</f>
        <v>0</v>
      </c>
      <c r="T37" s="288"/>
      <c r="U37" s="288"/>
      <c r="V37" s="288"/>
      <c r="W37" s="288"/>
      <c r="X37" s="288"/>
      <c r="Y37" s="288"/>
      <c r="Z37" s="288"/>
      <c r="AA37" s="288"/>
      <c r="AB37" s="288"/>
      <c r="AC37" s="288"/>
    </row>
    <row r="38" spans="1:29" s="289" customFormat="1" ht="12.75" customHeight="1" x14ac:dyDescent="0.3">
      <c r="A38" s="287"/>
      <c r="B38" s="1345" t="str">
        <f t="shared" si="13"/>
        <v>IAD</v>
      </c>
      <c r="C38" s="1353" t="str">
        <f t="shared" si="12"/>
        <v>Znečištění ovzduší (klima)</v>
      </c>
      <c r="D38" s="1346"/>
      <c r="E38" s="1510">
        <f>'10 Emise a ŽP'!E38*'10 Emise a ŽP'!E245*'11 Klima'!$E163*'11 Klima'!D$109*D248</f>
        <v>0</v>
      </c>
      <c r="F38" s="1347">
        <f>'10 Emise a ŽP'!F38*'10 Emise a ŽP'!F245*'11 Klima'!$E163*'11 Klima'!E$109*E248</f>
        <v>0</v>
      </c>
      <c r="G38" s="1347">
        <f>'10 Emise a ŽP'!G38*'10 Emise a ŽP'!G245*'11 Klima'!$E163*'11 Klima'!F$109*F248</f>
        <v>0</v>
      </c>
      <c r="H38" s="1347">
        <f>'10 Emise a ŽP'!H38*'10 Emise a ŽP'!H245*'11 Klima'!$E163*'11 Klima'!G$109*G248</f>
        <v>0</v>
      </c>
      <c r="I38" s="1347">
        <f>'10 Emise a ŽP'!I38*'10 Emise a ŽP'!I245*'11 Klima'!$E163*'11 Klima'!H$109*H248</f>
        <v>0</v>
      </c>
      <c r="J38" s="1347">
        <f>'10 Emise a ŽP'!J38*'10 Emise a ŽP'!J245*'11 Klima'!$E163*'11 Klima'!I$109*I248</f>
        <v>0</v>
      </c>
      <c r="K38" s="1347">
        <f>'10 Emise a ŽP'!K38*'10 Emise a ŽP'!K245*'11 Klima'!$E163*'11 Klima'!J$109*J248</f>
        <v>0</v>
      </c>
      <c r="L38" s="1347">
        <f>'10 Emise a ŽP'!L38*'10 Emise a ŽP'!L245*'11 Klima'!$E163*'11 Klima'!K$109*K248</f>
        <v>0</v>
      </c>
      <c r="M38" s="1347">
        <f>'10 Emise a ŽP'!M38*'10 Emise a ŽP'!M245*'11 Klima'!$E163*'11 Klima'!L$109*L248</f>
        <v>0</v>
      </c>
      <c r="N38" s="1347">
        <f>'10 Emise a ŽP'!N38*'10 Emise a ŽP'!N245*'11 Klima'!$E163*'11 Klima'!M$109*M248</f>
        <v>0</v>
      </c>
      <c r="O38" s="1347">
        <f>'10 Emise a ŽP'!O38*'10 Emise a ŽP'!O245*'11 Klima'!$E163*'11 Klima'!N$109*N248</f>
        <v>0</v>
      </c>
      <c r="P38" s="1347">
        <f>'10 Emise a ŽP'!P38*'10 Emise a ŽP'!P245*'11 Klima'!$E163*'11 Klima'!O$109*O248</f>
        <v>0</v>
      </c>
      <c r="Q38" s="1347">
        <f>'10 Emise a ŽP'!Q38*'10 Emise a ŽP'!Q245*'11 Klima'!$E163*'11 Klima'!P$109*P248</f>
        <v>0</v>
      </c>
      <c r="R38" s="1347">
        <f>'10 Emise a ŽP'!R38*'10 Emise a ŽP'!R245*'11 Klima'!$E163*'11 Klima'!Q$109*Q248</f>
        <v>0</v>
      </c>
      <c r="S38" s="1348">
        <f>'10 Emise a ŽP'!S38*'10 Emise a ŽP'!S245*'11 Klima'!$E163*'11 Klima'!R$109*R248</f>
        <v>0</v>
      </c>
      <c r="T38" s="288"/>
      <c r="U38" s="288"/>
      <c r="V38" s="288"/>
      <c r="W38" s="288"/>
      <c r="X38" s="288"/>
      <c r="Y38" s="288"/>
      <c r="Z38" s="288"/>
      <c r="AA38" s="288"/>
      <c r="AB38" s="288"/>
      <c r="AC38" s="288"/>
    </row>
    <row r="39" spans="1:29" s="289" customFormat="1" ht="12.75" customHeight="1" x14ac:dyDescent="0.3">
      <c r="A39" s="287"/>
      <c r="B39" s="1360" t="str">
        <f t="shared" si="13"/>
        <v>bez rozlišení</v>
      </c>
      <c r="C39" s="1355" t="str">
        <f t="shared" si="12"/>
        <v>Znečištění ovzduší (klima)</v>
      </c>
      <c r="D39" s="1346"/>
      <c r="E39" s="1510">
        <f>'10 Emise a ŽP'!E39*'10 Emise a ŽP'!E246*'11 Klima'!$E164*'11 Klima'!D$109*D249</f>
        <v>0</v>
      </c>
      <c r="F39" s="1347">
        <f>'10 Emise a ŽP'!F39*'10 Emise a ŽP'!F246*'11 Klima'!$E164*'11 Klima'!E$109*E249</f>
        <v>0</v>
      </c>
      <c r="G39" s="1347">
        <f>'10 Emise a ŽP'!G39*'10 Emise a ŽP'!G246*'11 Klima'!$E164*'11 Klima'!F$109*F249</f>
        <v>0</v>
      </c>
      <c r="H39" s="1347">
        <f>'10 Emise a ŽP'!H39*'10 Emise a ŽP'!H246*'11 Klima'!$E164*'11 Klima'!G$109*G249</f>
        <v>0</v>
      </c>
      <c r="I39" s="1347">
        <f>'10 Emise a ŽP'!I39*'10 Emise a ŽP'!I246*'11 Klima'!$E164*'11 Klima'!H$109*H249</f>
        <v>0</v>
      </c>
      <c r="J39" s="1347">
        <f>'10 Emise a ŽP'!J39*'10 Emise a ŽP'!J246*'11 Klima'!$E164*'11 Klima'!I$109*I249</f>
        <v>0</v>
      </c>
      <c r="K39" s="1347">
        <f>'10 Emise a ŽP'!K39*'10 Emise a ŽP'!K246*'11 Klima'!$E164*'11 Klima'!J$109*J249</f>
        <v>0</v>
      </c>
      <c r="L39" s="1347">
        <f>'10 Emise a ŽP'!L39*'10 Emise a ŽP'!L246*'11 Klima'!$E164*'11 Klima'!K$109*K249</f>
        <v>0</v>
      </c>
      <c r="M39" s="1347">
        <f>'10 Emise a ŽP'!M39*'10 Emise a ŽP'!M246*'11 Klima'!$E164*'11 Klima'!L$109*L249</f>
        <v>0</v>
      </c>
      <c r="N39" s="1347">
        <f>'10 Emise a ŽP'!N39*'10 Emise a ŽP'!N246*'11 Klima'!$E164*'11 Klima'!M$109*M249</f>
        <v>0</v>
      </c>
      <c r="O39" s="1347">
        <f>'10 Emise a ŽP'!O39*'10 Emise a ŽP'!O246*'11 Klima'!$E164*'11 Klima'!N$109*N249</f>
        <v>0</v>
      </c>
      <c r="P39" s="1347">
        <f>'10 Emise a ŽP'!P39*'10 Emise a ŽP'!P246*'11 Klima'!$E164*'11 Klima'!O$109*O249</f>
        <v>0</v>
      </c>
      <c r="Q39" s="1347">
        <f>'10 Emise a ŽP'!Q39*'10 Emise a ŽP'!Q246*'11 Klima'!$E164*'11 Klima'!P$109*P249</f>
        <v>0</v>
      </c>
      <c r="R39" s="1347">
        <f>'10 Emise a ŽP'!R39*'10 Emise a ŽP'!R246*'11 Klima'!$E164*'11 Klima'!Q$109*Q249</f>
        <v>0</v>
      </c>
      <c r="S39" s="1348">
        <f>'10 Emise a ŽP'!S39*'10 Emise a ŽP'!S246*'11 Klima'!$E164*'11 Klima'!R$109*R249</f>
        <v>0</v>
      </c>
      <c r="T39" s="288"/>
      <c r="U39" s="288"/>
      <c r="V39" s="288"/>
      <c r="W39" s="288"/>
      <c r="X39" s="288"/>
      <c r="Y39" s="288"/>
      <c r="Z39" s="288"/>
      <c r="AA39" s="288"/>
      <c r="AB39" s="288"/>
      <c r="AC39" s="288"/>
    </row>
    <row r="40" spans="1:29" ht="12.75" customHeight="1" thickBot="1" x14ac:dyDescent="0.35">
      <c r="A40" s="252"/>
      <c r="B40" s="1361"/>
      <c r="C40" s="243" t="str">
        <f t="shared" si="12"/>
        <v>Celkové externí náklady</v>
      </c>
      <c r="D40" s="273"/>
      <c r="E40" s="483">
        <f>SUM(E34:E39)</f>
        <v>0</v>
      </c>
      <c r="F40" s="484">
        <f t="shared" ref="F40:S40" si="14">SUM(F34:F39)</f>
        <v>0</v>
      </c>
      <c r="G40" s="484">
        <f t="shared" si="14"/>
        <v>0</v>
      </c>
      <c r="H40" s="484">
        <f t="shared" si="14"/>
        <v>0</v>
      </c>
      <c r="I40" s="484">
        <f t="shared" si="14"/>
        <v>0</v>
      </c>
      <c r="J40" s="484">
        <f t="shared" si="14"/>
        <v>0</v>
      </c>
      <c r="K40" s="484">
        <f t="shared" si="14"/>
        <v>0</v>
      </c>
      <c r="L40" s="484">
        <f t="shared" si="14"/>
        <v>0</v>
      </c>
      <c r="M40" s="484">
        <f t="shared" si="14"/>
        <v>0</v>
      </c>
      <c r="N40" s="484">
        <f t="shared" si="14"/>
        <v>0</v>
      </c>
      <c r="O40" s="484">
        <f t="shared" si="14"/>
        <v>0</v>
      </c>
      <c r="P40" s="484">
        <f t="shared" si="14"/>
        <v>0</v>
      </c>
      <c r="Q40" s="484">
        <f t="shared" si="14"/>
        <v>0</v>
      </c>
      <c r="R40" s="484">
        <f t="shared" si="14"/>
        <v>0</v>
      </c>
      <c r="S40" s="485">
        <f t="shared" si="14"/>
        <v>0</v>
      </c>
      <c r="T40" s="237"/>
      <c r="U40" s="237"/>
      <c r="V40" s="237"/>
      <c r="W40" s="237"/>
      <c r="X40" s="237"/>
      <c r="Y40" s="237"/>
      <c r="Z40" s="237"/>
      <c r="AA40" s="237"/>
      <c r="AB40" s="237"/>
      <c r="AC40" s="237"/>
    </row>
    <row r="41" spans="1:29" ht="12.75" customHeight="1" thickBot="1" x14ac:dyDescent="0.35">
      <c r="A41" s="252"/>
      <c r="B41" s="609"/>
      <c r="C41" s="1356"/>
      <c r="D41" s="1167"/>
      <c r="E41" s="1166"/>
      <c r="F41" s="1166"/>
      <c r="G41" s="1166"/>
      <c r="H41" s="1166"/>
      <c r="I41" s="1166"/>
      <c r="J41" s="1166"/>
      <c r="K41" s="1166"/>
      <c r="L41" s="1166"/>
      <c r="M41" s="1166"/>
      <c r="N41" s="1166"/>
      <c r="O41" s="1166"/>
      <c r="P41" s="1166"/>
      <c r="Q41" s="1166"/>
      <c r="R41" s="1166"/>
      <c r="S41" s="1166"/>
      <c r="T41" s="237"/>
      <c r="U41" s="237"/>
      <c r="V41" s="237"/>
      <c r="W41" s="237"/>
      <c r="X41" s="237"/>
      <c r="Y41" s="237"/>
      <c r="Z41" s="237"/>
      <c r="AA41" s="237"/>
      <c r="AB41" s="237"/>
      <c r="AC41" s="237"/>
    </row>
    <row r="42" spans="1:29" ht="12.75" customHeight="1" x14ac:dyDescent="0.3">
      <c r="A42" s="245"/>
      <c r="B42" s="1203" t="s">
        <v>58</v>
      </c>
      <c r="C42" s="1204" t="str">
        <f>IF('0 Úvod'!$M$10="English",Slovnik!$D$288,Slovnik!$C$288)</f>
        <v>Celkem externí efekty - úspory (CZK)</v>
      </c>
      <c r="D42" s="1204"/>
      <c r="E42" s="2036">
        <f>E2</f>
        <v>2026</v>
      </c>
      <c r="F42" s="2016">
        <f t="shared" ref="F42:S42" si="15">E42+1</f>
        <v>2027</v>
      </c>
      <c r="G42" s="2016">
        <f t="shared" si="15"/>
        <v>2028</v>
      </c>
      <c r="H42" s="2016">
        <f t="shared" si="15"/>
        <v>2029</v>
      </c>
      <c r="I42" s="2016">
        <f t="shared" si="15"/>
        <v>2030</v>
      </c>
      <c r="J42" s="2016">
        <f t="shared" si="15"/>
        <v>2031</v>
      </c>
      <c r="K42" s="2016">
        <f t="shared" si="15"/>
        <v>2032</v>
      </c>
      <c r="L42" s="2016">
        <f t="shared" si="15"/>
        <v>2033</v>
      </c>
      <c r="M42" s="2016">
        <f t="shared" si="15"/>
        <v>2034</v>
      </c>
      <c r="N42" s="2016">
        <f t="shared" si="15"/>
        <v>2035</v>
      </c>
      <c r="O42" s="2016">
        <f t="shared" si="15"/>
        <v>2036</v>
      </c>
      <c r="P42" s="2016">
        <f t="shared" si="15"/>
        <v>2037</v>
      </c>
      <c r="Q42" s="2016">
        <f t="shared" si="15"/>
        <v>2038</v>
      </c>
      <c r="R42" s="2016">
        <f t="shared" si="15"/>
        <v>2039</v>
      </c>
      <c r="S42" s="2034">
        <f t="shared" si="15"/>
        <v>2040</v>
      </c>
      <c r="T42" s="247"/>
      <c r="U42" s="247"/>
      <c r="V42" s="247"/>
      <c r="W42" s="247"/>
      <c r="X42" s="247"/>
      <c r="Y42" s="247"/>
      <c r="Z42" s="247"/>
      <c r="AA42" s="247"/>
      <c r="AB42" s="247"/>
      <c r="AC42" s="247"/>
    </row>
    <row r="43" spans="1:29" ht="12.75" customHeight="1" thickBot="1" x14ac:dyDescent="0.35">
      <c r="A43" s="245"/>
      <c r="B43" s="1205" t="s">
        <v>4</v>
      </c>
      <c r="C43" s="1206"/>
      <c r="D43" s="1362" t="str">
        <f>D23</f>
        <v>Celkem</v>
      </c>
      <c r="E43" s="2174"/>
      <c r="F43" s="2017"/>
      <c r="G43" s="2017"/>
      <c r="H43" s="2017"/>
      <c r="I43" s="2017"/>
      <c r="J43" s="2017"/>
      <c r="K43" s="2017"/>
      <c r="L43" s="2017"/>
      <c r="M43" s="2017"/>
      <c r="N43" s="2017"/>
      <c r="O43" s="2017"/>
      <c r="P43" s="2017"/>
      <c r="Q43" s="2017"/>
      <c r="R43" s="2017"/>
      <c r="S43" s="2035"/>
      <c r="T43" s="247"/>
      <c r="U43" s="247"/>
      <c r="V43" s="247"/>
      <c r="W43" s="247"/>
      <c r="X43" s="247"/>
      <c r="Y43" s="247"/>
      <c r="Z43" s="247"/>
      <c r="AA43" s="247"/>
      <c r="AB43" s="247"/>
      <c r="AC43" s="247"/>
    </row>
    <row r="44" spans="1:29" ht="12.75" customHeight="1" x14ac:dyDescent="0.3">
      <c r="A44" s="254"/>
      <c r="B44" s="1363" t="str">
        <f>IF('0 Úvod'!$M$10="English",Slovnik!$D$285,Slovnik!$C$285)</f>
        <v>Osobní</v>
      </c>
      <c r="C44" s="1186" t="str">
        <f>C4</f>
        <v>Znečištění ovzduší (klima)</v>
      </c>
      <c r="D44" s="1364">
        <f>SUM(E44:S44,E49:S49)</f>
        <v>0</v>
      </c>
      <c r="E44" s="1211">
        <f>E30-E10</f>
        <v>0</v>
      </c>
      <c r="F44" s="1187">
        <f t="shared" ref="F44:S44" si="16">F30-F10</f>
        <v>0</v>
      </c>
      <c r="G44" s="1187">
        <f t="shared" si="16"/>
        <v>0</v>
      </c>
      <c r="H44" s="1187">
        <f t="shared" si="16"/>
        <v>0</v>
      </c>
      <c r="I44" s="1187">
        <f t="shared" si="16"/>
        <v>0</v>
      </c>
      <c r="J44" s="1187">
        <f t="shared" si="16"/>
        <v>0</v>
      </c>
      <c r="K44" s="1187">
        <f t="shared" si="16"/>
        <v>0</v>
      </c>
      <c r="L44" s="1187">
        <f t="shared" si="16"/>
        <v>0</v>
      </c>
      <c r="M44" s="1187">
        <f t="shared" si="16"/>
        <v>0</v>
      </c>
      <c r="N44" s="1187">
        <f t="shared" si="16"/>
        <v>0</v>
      </c>
      <c r="O44" s="1187">
        <f t="shared" si="16"/>
        <v>0</v>
      </c>
      <c r="P44" s="1187">
        <f t="shared" si="16"/>
        <v>0</v>
      </c>
      <c r="Q44" s="1187">
        <f t="shared" si="16"/>
        <v>0</v>
      </c>
      <c r="R44" s="1187">
        <f t="shared" si="16"/>
        <v>0</v>
      </c>
      <c r="S44" s="1215">
        <f t="shared" si="16"/>
        <v>0</v>
      </c>
      <c r="T44" s="236"/>
      <c r="U44" s="236"/>
      <c r="V44" s="236"/>
      <c r="W44" s="236"/>
      <c r="X44" s="236"/>
      <c r="Y44" s="236"/>
      <c r="Z44" s="236"/>
      <c r="AA44" s="236"/>
      <c r="AB44" s="236"/>
      <c r="AC44" s="236"/>
    </row>
    <row r="45" spans="1:29" ht="12.75" customHeight="1" thickBot="1" x14ac:dyDescent="0.35">
      <c r="A45" s="245"/>
      <c r="B45" s="1365"/>
      <c r="C45" s="1366" t="str">
        <f>IF('0 Úvod'!$M$10="English",Slovnik!$D$287,Slovnik!$C$287)</f>
        <v>Celkem externí efekty - úspory</v>
      </c>
      <c r="D45" s="1367">
        <f>SUM(E45:S45,E50:S50)</f>
        <v>0</v>
      </c>
      <c r="E45" s="1368">
        <f t="shared" ref="E45:S45" si="17">SUM(E44:E44)</f>
        <v>0</v>
      </c>
      <c r="F45" s="1369">
        <f t="shared" si="17"/>
        <v>0</v>
      </c>
      <c r="G45" s="1369">
        <f t="shared" si="17"/>
        <v>0</v>
      </c>
      <c r="H45" s="1369">
        <f t="shared" si="17"/>
        <v>0</v>
      </c>
      <c r="I45" s="1369">
        <f t="shared" si="17"/>
        <v>0</v>
      </c>
      <c r="J45" s="1369">
        <f t="shared" si="17"/>
        <v>0</v>
      </c>
      <c r="K45" s="1369">
        <f t="shared" si="17"/>
        <v>0</v>
      </c>
      <c r="L45" s="1369">
        <f t="shared" si="17"/>
        <v>0</v>
      </c>
      <c r="M45" s="1369">
        <f t="shared" si="17"/>
        <v>0</v>
      </c>
      <c r="N45" s="1369">
        <f t="shared" si="17"/>
        <v>0</v>
      </c>
      <c r="O45" s="1369">
        <f t="shared" si="17"/>
        <v>0</v>
      </c>
      <c r="P45" s="1369">
        <f t="shared" si="17"/>
        <v>0</v>
      </c>
      <c r="Q45" s="1369">
        <f t="shared" si="17"/>
        <v>0</v>
      </c>
      <c r="R45" s="1369">
        <f t="shared" si="17"/>
        <v>0</v>
      </c>
      <c r="S45" s="1370">
        <f t="shared" si="17"/>
        <v>0</v>
      </c>
      <c r="T45" s="237"/>
      <c r="U45" s="237"/>
      <c r="V45" s="237"/>
      <c r="W45" s="237"/>
      <c r="X45" s="237"/>
      <c r="Y45" s="237"/>
      <c r="Z45" s="237"/>
      <c r="AA45" s="237"/>
      <c r="AB45" s="237"/>
      <c r="AC45" s="237"/>
    </row>
    <row r="46" spans="1:29" ht="12.75" customHeight="1" thickBot="1" x14ac:dyDescent="0.35">
      <c r="A46" s="245"/>
      <c r="B46" s="1349"/>
      <c r="C46" s="1165"/>
      <c r="D46" s="1167"/>
      <c r="E46" s="1167"/>
      <c r="F46" s="1167"/>
      <c r="G46" s="1167"/>
      <c r="H46" s="1167"/>
      <c r="I46" s="1167"/>
      <c r="J46" s="1167"/>
      <c r="K46" s="1167"/>
      <c r="L46" s="1167"/>
      <c r="M46" s="1167"/>
      <c r="N46" s="1167"/>
      <c r="O46" s="1167"/>
      <c r="P46" s="1167"/>
      <c r="Q46" s="1167"/>
      <c r="R46" s="1167"/>
      <c r="S46" s="1167"/>
      <c r="T46" s="236"/>
      <c r="U46" s="236"/>
      <c r="V46" s="236"/>
      <c r="W46" s="236"/>
      <c r="X46" s="236"/>
      <c r="Y46" s="236"/>
      <c r="Z46" s="236"/>
      <c r="AA46" s="236"/>
      <c r="AB46" s="236"/>
      <c r="AC46" s="236"/>
    </row>
    <row r="47" spans="1:29" ht="12.75" customHeight="1" x14ac:dyDescent="0.3">
      <c r="A47" s="245"/>
      <c r="B47" s="1203" t="str">
        <f>B42</f>
        <v>11.3.</v>
      </c>
      <c r="C47" s="1204" t="str">
        <f>C42</f>
        <v>Celkem externí efekty - úspory (CZK)</v>
      </c>
      <c r="D47" s="1204"/>
      <c r="E47" s="2036">
        <f>S42+1</f>
        <v>2041</v>
      </c>
      <c r="F47" s="2016">
        <f t="shared" ref="F47:S47" si="18">E47+1</f>
        <v>2042</v>
      </c>
      <c r="G47" s="2016">
        <f t="shared" si="18"/>
        <v>2043</v>
      </c>
      <c r="H47" s="2016">
        <f t="shared" si="18"/>
        <v>2044</v>
      </c>
      <c r="I47" s="2016">
        <f t="shared" si="18"/>
        <v>2045</v>
      </c>
      <c r="J47" s="2016">
        <f t="shared" si="18"/>
        <v>2046</v>
      </c>
      <c r="K47" s="2016">
        <f t="shared" si="18"/>
        <v>2047</v>
      </c>
      <c r="L47" s="2016">
        <f t="shared" si="18"/>
        <v>2048</v>
      </c>
      <c r="M47" s="2016">
        <f t="shared" si="18"/>
        <v>2049</v>
      </c>
      <c r="N47" s="2016">
        <f t="shared" si="18"/>
        <v>2050</v>
      </c>
      <c r="O47" s="2016">
        <f t="shared" si="18"/>
        <v>2051</v>
      </c>
      <c r="P47" s="2016">
        <f t="shared" si="18"/>
        <v>2052</v>
      </c>
      <c r="Q47" s="2016">
        <f t="shared" si="18"/>
        <v>2053</v>
      </c>
      <c r="R47" s="2016">
        <f t="shared" si="18"/>
        <v>2054</v>
      </c>
      <c r="S47" s="2034">
        <f t="shared" si="18"/>
        <v>2055</v>
      </c>
      <c r="T47" s="247"/>
      <c r="U47" s="247"/>
      <c r="V47" s="247"/>
      <c r="W47" s="247"/>
      <c r="X47" s="247"/>
      <c r="Y47" s="247"/>
      <c r="Z47" s="247"/>
      <c r="AA47" s="247"/>
      <c r="AB47" s="247"/>
      <c r="AC47" s="247"/>
    </row>
    <row r="48" spans="1:29" ht="12.75" customHeight="1" thickBot="1" x14ac:dyDescent="0.35">
      <c r="A48" s="245"/>
      <c r="B48" s="1205" t="s">
        <v>5</v>
      </c>
      <c r="C48" s="1206"/>
      <c r="D48" s="1362"/>
      <c r="E48" s="2174">
        <f>S43+1</f>
        <v>1</v>
      </c>
      <c r="F48" s="2017"/>
      <c r="G48" s="2017"/>
      <c r="H48" s="2017"/>
      <c r="I48" s="2017"/>
      <c r="J48" s="2017"/>
      <c r="K48" s="2017"/>
      <c r="L48" s="2017"/>
      <c r="M48" s="2017"/>
      <c r="N48" s="2017"/>
      <c r="O48" s="2017"/>
      <c r="P48" s="2017"/>
      <c r="Q48" s="2017"/>
      <c r="R48" s="2017"/>
      <c r="S48" s="2035"/>
      <c r="T48" s="247"/>
      <c r="U48" s="247"/>
      <c r="V48" s="247"/>
      <c r="W48" s="247"/>
      <c r="X48" s="247"/>
      <c r="Y48" s="247"/>
      <c r="Z48" s="247"/>
      <c r="AA48" s="247"/>
      <c r="AB48" s="247"/>
      <c r="AC48" s="247"/>
    </row>
    <row r="49" spans="1:29" ht="12.75" customHeight="1" x14ac:dyDescent="0.3">
      <c r="A49" s="254"/>
      <c r="B49" s="1363" t="str">
        <f>B44</f>
        <v>Osobní</v>
      </c>
      <c r="C49" s="1186" t="str">
        <f>C44</f>
        <v>Znečištění ovzduší (klima)</v>
      </c>
      <c r="D49" s="1364"/>
      <c r="E49" s="1211">
        <f>E40-E20</f>
        <v>0</v>
      </c>
      <c r="F49" s="1187">
        <f t="shared" ref="F49:S49" si="19">F40-F20</f>
        <v>0</v>
      </c>
      <c r="G49" s="1187">
        <f t="shared" si="19"/>
        <v>0</v>
      </c>
      <c r="H49" s="1187">
        <f t="shared" si="19"/>
        <v>0</v>
      </c>
      <c r="I49" s="1187">
        <f t="shared" si="19"/>
        <v>0</v>
      </c>
      <c r="J49" s="1187">
        <f t="shared" si="19"/>
        <v>0</v>
      </c>
      <c r="K49" s="1187">
        <f t="shared" si="19"/>
        <v>0</v>
      </c>
      <c r="L49" s="1187">
        <f t="shared" si="19"/>
        <v>0</v>
      </c>
      <c r="M49" s="1187">
        <f t="shared" si="19"/>
        <v>0</v>
      </c>
      <c r="N49" s="1187">
        <f t="shared" si="19"/>
        <v>0</v>
      </c>
      <c r="O49" s="1187">
        <f t="shared" si="19"/>
        <v>0</v>
      </c>
      <c r="P49" s="1187">
        <f t="shared" si="19"/>
        <v>0</v>
      </c>
      <c r="Q49" s="1187">
        <f t="shared" si="19"/>
        <v>0</v>
      </c>
      <c r="R49" s="1187">
        <f t="shared" si="19"/>
        <v>0</v>
      </c>
      <c r="S49" s="1215">
        <f t="shared" si="19"/>
        <v>0</v>
      </c>
      <c r="T49" s="236"/>
      <c r="U49" s="236"/>
      <c r="V49" s="236"/>
      <c r="W49" s="236"/>
      <c r="X49" s="236"/>
      <c r="Y49" s="236"/>
      <c r="Z49" s="236"/>
      <c r="AA49" s="236"/>
      <c r="AB49" s="236"/>
      <c r="AC49" s="236"/>
    </row>
    <row r="50" spans="1:29" ht="12.75" customHeight="1" thickBot="1" x14ac:dyDescent="0.35">
      <c r="A50" s="245"/>
      <c r="B50" s="1365"/>
      <c r="C50" s="1366" t="str">
        <f>C45</f>
        <v>Celkem externí efekty - úspory</v>
      </c>
      <c r="D50" s="1367"/>
      <c r="E50" s="1368">
        <f t="shared" ref="E50:S50" si="20">SUM(E49:E49)</f>
        <v>0</v>
      </c>
      <c r="F50" s="1369">
        <f t="shared" si="20"/>
        <v>0</v>
      </c>
      <c r="G50" s="1369">
        <f t="shared" si="20"/>
        <v>0</v>
      </c>
      <c r="H50" s="1369">
        <f t="shared" si="20"/>
        <v>0</v>
      </c>
      <c r="I50" s="1369">
        <f t="shared" si="20"/>
        <v>0</v>
      </c>
      <c r="J50" s="1369">
        <f t="shared" si="20"/>
        <v>0</v>
      </c>
      <c r="K50" s="1369">
        <f t="shared" si="20"/>
        <v>0</v>
      </c>
      <c r="L50" s="1369">
        <f t="shared" si="20"/>
        <v>0</v>
      </c>
      <c r="M50" s="1369">
        <f t="shared" si="20"/>
        <v>0</v>
      </c>
      <c r="N50" s="1369">
        <f t="shared" si="20"/>
        <v>0</v>
      </c>
      <c r="O50" s="1369">
        <f t="shared" si="20"/>
        <v>0</v>
      </c>
      <c r="P50" s="1369">
        <f t="shared" si="20"/>
        <v>0</v>
      </c>
      <c r="Q50" s="1369">
        <f t="shared" si="20"/>
        <v>0</v>
      </c>
      <c r="R50" s="1369">
        <f t="shared" si="20"/>
        <v>0</v>
      </c>
      <c r="S50" s="1370">
        <f t="shared" si="20"/>
        <v>0</v>
      </c>
      <c r="T50" s="237"/>
      <c r="U50" s="237"/>
      <c r="V50" s="237"/>
      <c r="W50" s="237"/>
      <c r="X50" s="237"/>
      <c r="Y50" s="237"/>
      <c r="Z50" s="237"/>
      <c r="AA50" s="237"/>
      <c r="AB50" s="237"/>
      <c r="AC50" s="237"/>
    </row>
    <row r="51" spans="1:29" ht="12.75" customHeight="1" thickBot="1" x14ac:dyDescent="0.35">
      <c r="B51" s="585"/>
      <c r="C51" s="585"/>
      <c r="D51" s="585"/>
      <c r="E51" s="585"/>
      <c r="F51" s="585"/>
      <c r="G51" s="585"/>
      <c r="H51" s="585"/>
      <c r="I51" s="585"/>
      <c r="J51" s="585"/>
      <c r="K51" s="585"/>
      <c r="L51" s="585"/>
      <c r="M51" s="585"/>
      <c r="N51" s="585"/>
      <c r="O51" s="585"/>
      <c r="P51" s="585"/>
      <c r="Q51" s="585"/>
      <c r="R51" s="585"/>
      <c r="S51" s="585"/>
    </row>
    <row r="52" spans="1:29" ht="14.25" hidden="1" thickBot="1" x14ac:dyDescent="0.35">
      <c r="B52" s="585"/>
      <c r="C52" s="585"/>
      <c r="D52" s="585"/>
      <c r="E52" s="585"/>
      <c r="F52" s="585"/>
      <c r="G52" s="585"/>
      <c r="H52" s="585"/>
      <c r="I52" s="585"/>
      <c r="J52" s="585"/>
      <c r="K52" s="585"/>
      <c r="L52" s="585"/>
      <c r="M52" s="585"/>
      <c r="N52" s="585"/>
      <c r="O52" s="585"/>
      <c r="P52" s="585"/>
      <c r="Q52" s="585"/>
      <c r="R52" s="585"/>
      <c r="S52" s="585"/>
    </row>
    <row r="53" spans="1:29" s="277" customFormat="1" x14ac:dyDescent="0.25">
      <c r="B53" s="1371"/>
      <c r="C53" s="1372" t="s">
        <v>1526</v>
      </c>
      <c r="D53" s="1373">
        <f>D10</f>
        <v>0</v>
      </c>
      <c r="E53" s="1374"/>
      <c r="F53" s="1132"/>
      <c r="G53" s="1132"/>
      <c r="H53" s="1132"/>
      <c r="I53" s="1132"/>
      <c r="J53" s="1132"/>
      <c r="K53" s="1132"/>
      <c r="L53" s="1132"/>
      <c r="M53" s="1132"/>
      <c r="N53" s="1132"/>
      <c r="O53" s="1132"/>
      <c r="P53" s="1132"/>
      <c r="Q53" s="1134"/>
      <c r="R53" s="1134"/>
      <c r="S53" s="1135"/>
    </row>
    <row r="54" spans="1:29" s="277" customFormat="1" x14ac:dyDescent="0.25">
      <c r="B54" s="1375"/>
      <c r="C54" s="1376" t="s">
        <v>1581</v>
      </c>
      <c r="D54" s="1377">
        <f>D30</f>
        <v>0</v>
      </c>
      <c r="E54" s="1378"/>
      <c r="F54" s="1137"/>
      <c r="G54" s="1132"/>
      <c r="H54" s="1137"/>
      <c r="I54" s="1137"/>
      <c r="J54" s="1137"/>
      <c r="K54" s="1137"/>
      <c r="L54" s="1137"/>
      <c r="M54" s="1137"/>
      <c r="N54" s="1137"/>
      <c r="O54" s="1137"/>
      <c r="P54" s="1137"/>
      <c r="Q54" s="1379"/>
      <c r="R54" s="1379"/>
      <c r="S54" s="1135"/>
    </row>
    <row r="55" spans="1:29" ht="15" thickBot="1" x14ac:dyDescent="0.35">
      <c r="B55" s="1380"/>
      <c r="C55" s="1381" t="s">
        <v>1582</v>
      </c>
      <c r="D55" s="1382">
        <f>D45</f>
        <v>0</v>
      </c>
      <c r="E55" s="1378"/>
      <c r="F55" s="585"/>
      <c r="G55" s="585"/>
      <c r="H55" s="585"/>
      <c r="I55" s="585"/>
      <c r="J55" s="1138"/>
      <c r="K55" s="585"/>
      <c r="L55" s="585"/>
      <c r="M55" s="585"/>
      <c r="N55" s="585"/>
      <c r="O55" s="585"/>
      <c r="P55" s="585"/>
      <c r="Q55" s="585"/>
      <c r="R55" s="585"/>
      <c r="S55" s="585"/>
    </row>
    <row r="56" spans="1:29" ht="14.25" thickBot="1" x14ac:dyDescent="0.35">
      <c r="B56" s="585"/>
      <c r="C56" s="585"/>
      <c r="D56" s="1383"/>
      <c r="E56" s="585"/>
      <c r="F56" s="585"/>
      <c r="G56" s="585"/>
      <c r="H56" s="585"/>
      <c r="I56" s="585"/>
      <c r="J56" s="585"/>
      <c r="K56" s="585"/>
      <c r="L56" s="585"/>
      <c r="M56" s="585"/>
      <c r="N56" s="585"/>
      <c r="O56" s="585"/>
      <c r="P56" s="585"/>
      <c r="Q56" s="585"/>
      <c r="R56" s="585"/>
      <c r="S56" s="585"/>
    </row>
    <row r="57" spans="1:29" ht="12.75" customHeight="1" x14ac:dyDescent="0.3">
      <c r="A57" s="245"/>
      <c r="B57" s="291" t="s">
        <v>1511</v>
      </c>
      <c r="C57" s="292" t="s">
        <v>1579</v>
      </c>
      <c r="D57" s="292"/>
      <c r="E57" s="2119">
        <f>E42</f>
        <v>2026</v>
      </c>
      <c r="F57" s="2121">
        <f t="shared" ref="F57" si="21">E57+1</f>
        <v>2027</v>
      </c>
      <c r="G57" s="2121">
        <f t="shared" ref="G57" si="22">F57+1</f>
        <v>2028</v>
      </c>
      <c r="H57" s="2121">
        <f t="shared" ref="H57" si="23">G57+1</f>
        <v>2029</v>
      </c>
      <c r="I57" s="2121">
        <f t="shared" ref="I57" si="24">H57+1</f>
        <v>2030</v>
      </c>
      <c r="J57" s="2121">
        <f t="shared" ref="J57" si="25">I57+1</f>
        <v>2031</v>
      </c>
      <c r="K57" s="2121">
        <f t="shared" ref="K57" si="26">J57+1</f>
        <v>2032</v>
      </c>
      <c r="L57" s="2121">
        <f t="shared" ref="L57" si="27">K57+1</f>
        <v>2033</v>
      </c>
      <c r="M57" s="2121">
        <f t="shared" ref="M57" si="28">L57+1</f>
        <v>2034</v>
      </c>
      <c r="N57" s="2121">
        <f t="shared" ref="N57" si="29">M57+1</f>
        <v>2035</v>
      </c>
      <c r="O57" s="2121">
        <f t="shared" ref="O57" si="30">N57+1</f>
        <v>2036</v>
      </c>
      <c r="P57" s="2121">
        <f t="shared" ref="P57" si="31">O57+1</f>
        <v>2037</v>
      </c>
      <c r="Q57" s="2121">
        <f t="shared" ref="Q57" si="32">P57+1</f>
        <v>2038</v>
      </c>
      <c r="R57" s="2121">
        <f t="shared" ref="R57" si="33">Q57+1</f>
        <v>2039</v>
      </c>
      <c r="S57" s="2123">
        <f t="shared" ref="S57" si="34">R57+1</f>
        <v>2040</v>
      </c>
      <c r="T57" s="247"/>
      <c r="U57" s="247"/>
      <c r="V57" s="247"/>
      <c r="W57" s="247"/>
      <c r="X57" s="247"/>
      <c r="Y57" s="247"/>
      <c r="Z57" s="247"/>
      <c r="AA57" s="247"/>
      <c r="AB57" s="247"/>
      <c r="AC57" s="247"/>
    </row>
    <row r="58" spans="1:29" ht="12.75" customHeight="1" thickBot="1" x14ac:dyDescent="0.35">
      <c r="A58" s="245"/>
      <c r="B58" s="294" t="s">
        <v>4</v>
      </c>
      <c r="C58" s="546"/>
      <c r="D58" s="1718" t="s">
        <v>60</v>
      </c>
      <c r="E58" s="2142"/>
      <c r="F58" s="2122"/>
      <c r="G58" s="2122"/>
      <c r="H58" s="2122"/>
      <c r="I58" s="2122"/>
      <c r="J58" s="2122"/>
      <c r="K58" s="2122"/>
      <c r="L58" s="2122"/>
      <c r="M58" s="2122"/>
      <c r="N58" s="2122"/>
      <c r="O58" s="2122"/>
      <c r="P58" s="2122"/>
      <c r="Q58" s="2122"/>
      <c r="R58" s="2122"/>
      <c r="S58" s="2124"/>
      <c r="T58" s="247"/>
      <c r="U58" s="247"/>
      <c r="V58" s="247"/>
      <c r="W58" s="247"/>
      <c r="X58" s="247"/>
      <c r="Y58" s="247"/>
      <c r="Z58" s="247"/>
      <c r="AA58" s="247"/>
      <c r="AB58" s="247"/>
      <c r="AC58" s="247"/>
    </row>
    <row r="59" spans="1:29" ht="12.75" customHeight="1" x14ac:dyDescent="0.3">
      <c r="A59" s="254"/>
      <c r="B59" s="1363"/>
      <c r="C59" s="1186" t="s">
        <v>1578</v>
      </c>
      <c r="D59" s="1364">
        <f>SUM(E59:S59,E64:S64)</f>
        <v>0</v>
      </c>
      <c r="E59" s="1211">
        <f t="shared" ref="E59:O59" si="35">E288-E268</f>
        <v>0</v>
      </c>
      <c r="F59" s="1187">
        <f t="shared" si="35"/>
        <v>0</v>
      </c>
      <c r="G59" s="1187">
        <f t="shared" si="35"/>
        <v>0</v>
      </c>
      <c r="H59" s="1187">
        <f t="shared" si="35"/>
        <v>0</v>
      </c>
      <c r="I59" s="1187">
        <f t="shared" si="35"/>
        <v>0</v>
      </c>
      <c r="J59" s="1187">
        <f t="shared" si="35"/>
        <v>0</v>
      </c>
      <c r="K59" s="1187">
        <f t="shared" si="35"/>
        <v>0</v>
      </c>
      <c r="L59" s="1187">
        <f t="shared" si="35"/>
        <v>0</v>
      </c>
      <c r="M59" s="1187">
        <f t="shared" si="35"/>
        <v>0</v>
      </c>
      <c r="N59" s="1187">
        <f t="shared" si="35"/>
        <v>0</v>
      </c>
      <c r="O59" s="1187">
        <f t="shared" si="35"/>
        <v>0</v>
      </c>
      <c r="P59" s="1187">
        <f t="shared" ref="P59:S59" si="36">P288-P268</f>
        <v>0</v>
      </c>
      <c r="Q59" s="1187">
        <f t="shared" si="36"/>
        <v>0</v>
      </c>
      <c r="R59" s="1187">
        <f t="shared" si="36"/>
        <v>0</v>
      </c>
      <c r="S59" s="1215">
        <f t="shared" si="36"/>
        <v>0</v>
      </c>
      <c r="T59" s="236"/>
      <c r="U59" s="236"/>
      <c r="V59" s="236"/>
      <c r="W59" s="236"/>
      <c r="X59" s="236"/>
      <c r="Y59" s="236"/>
      <c r="Z59" s="236"/>
      <c r="AA59" s="236"/>
      <c r="AB59" s="236"/>
      <c r="AC59" s="236"/>
    </row>
    <row r="60" spans="1:29" ht="12.75" customHeight="1" thickBot="1" x14ac:dyDescent="0.35">
      <c r="A60" s="245"/>
      <c r="B60" s="244"/>
      <c r="C60" s="1190" t="s">
        <v>1578</v>
      </c>
      <c r="D60" s="1719">
        <f>SUM(E60:S60,E65:S65)</f>
        <v>0</v>
      </c>
      <c r="E60" s="1192">
        <f t="shared" ref="E60:S60" si="37">SUM(E59:E59)</f>
        <v>0</v>
      </c>
      <c r="F60" s="1193">
        <f t="shared" si="37"/>
        <v>0</v>
      </c>
      <c r="G60" s="1193">
        <f t="shared" si="37"/>
        <v>0</v>
      </c>
      <c r="H60" s="1193">
        <f t="shared" si="37"/>
        <v>0</v>
      </c>
      <c r="I60" s="1193">
        <f t="shared" si="37"/>
        <v>0</v>
      </c>
      <c r="J60" s="1193">
        <f t="shared" si="37"/>
        <v>0</v>
      </c>
      <c r="K60" s="1193">
        <f t="shared" si="37"/>
        <v>0</v>
      </c>
      <c r="L60" s="1193">
        <f t="shared" si="37"/>
        <v>0</v>
      </c>
      <c r="M60" s="1193">
        <f t="shared" si="37"/>
        <v>0</v>
      </c>
      <c r="N60" s="1193">
        <f t="shared" si="37"/>
        <v>0</v>
      </c>
      <c r="O60" s="1193">
        <f t="shared" si="37"/>
        <v>0</v>
      </c>
      <c r="P60" s="1193">
        <f t="shared" si="37"/>
        <v>0</v>
      </c>
      <c r="Q60" s="1193">
        <f t="shared" si="37"/>
        <v>0</v>
      </c>
      <c r="R60" s="1193">
        <f t="shared" si="37"/>
        <v>0</v>
      </c>
      <c r="S60" s="1194">
        <f t="shared" si="37"/>
        <v>0</v>
      </c>
      <c r="T60" s="237"/>
      <c r="U60" s="237"/>
      <c r="V60" s="237"/>
      <c r="W60" s="237"/>
      <c r="X60" s="237"/>
      <c r="Y60" s="237"/>
      <c r="Z60" s="237"/>
      <c r="AA60" s="237"/>
      <c r="AB60" s="237"/>
      <c r="AC60" s="237"/>
    </row>
    <row r="61" spans="1:29" ht="12.75" customHeight="1" thickBot="1" x14ac:dyDescent="0.35">
      <c r="A61" s="245"/>
      <c r="B61" s="1349"/>
      <c r="C61" s="1165"/>
      <c r="D61" s="1167"/>
      <c r="E61" s="1167"/>
      <c r="F61" s="1167"/>
      <c r="G61" s="1167"/>
      <c r="H61" s="1167"/>
      <c r="I61" s="1167"/>
      <c r="J61" s="1167"/>
      <c r="K61" s="1167"/>
      <c r="L61" s="1167"/>
      <c r="M61" s="1167"/>
      <c r="N61" s="1167"/>
      <c r="O61" s="1167"/>
      <c r="P61" s="1167"/>
      <c r="Q61" s="1167"/>
      <c r="R61" s="1167"/>
      <c r="S61" s="1167"/>
      <c r="T61" s="236"/>
      <c r="U61" s="236"/>
      <c r="V61" s="236"/>
      <c r="W61" s="236"/>
      <c r="X61" s="236"/>
      <c r="Y61" s="236"/>
      <c r="Z61" s="236"/>
      <c r="AA61" s="236"/>
      <c r="AB61" s="236"/>
      <c r="AC61" s="236"/>
    </row>
    <row r="62" spans="1:29" ht="12.75" customHeight="1" x14ac:dyDescent="0.3">
      <c r="A62" s="245"/>
      <c r="B62" s="291" t="str">
        <f>B57</f>
        <v>11.4.</v>
      </c>
      <c r="C62" s="292" t="str">
        <f>C57</f>
        <v>Úspory CO2</v>
      </c>
      <c r="D62" s="292"/>
      <c r="E62" s="2119">
        <f>S57+1</f>
        <v>2041</v>
      </c>
      <c r="F62" s="2121">
        <f t="shared" ref="F62" si="38">E62+1</f>
        <v>2042</v>
      </c>
      <c r="G62" s="2121">
        <f t="shared" ref="G62" si="39">F62+1</f>
        <v>2043</v>
      </c>
      <c r="H62" s="2121">
        <f t="shared" ref="H62" si="40">G62+1</f>
        <v>2044</v>
      </c>
      <c r="I62" s="2121">
        <f t="shared" ref="I62" si="41">H62+1</f>
        <v>2045</v>
      </c>
      <c r="J62" s="2121">
        <f t="shared" ref="J62" si="42">I62+1</f>
        <v>2046</v>
      </c>
      <c r="K62" s="2121">
        <f t="shared" ref="K62" si="43">J62+1</f>
        <v>2047</v>
      </c>
      <c r="L62" s="2121">
        <f t="shared" ref="L62" si="44">K62+1</f>
        <v>2048</v>
      </c>
      <c r="M62" s="2121">
        <f t="shared" ref="M62" si="45">L62+1</f>
        <v>2049</v>
      </c>
      <c r="N62" s="2121">
        <f t="shared" ref="N62" si="46">M62+1</f>
        <v>2050</v>
      </c>
      <c r="O62" s="2121">
        <f t="shared" ref="O62" si="47">N62+1</f>
        <v>2051</v>
      </c>
      <c r="P62" s="2121">
        <f t="shared" ref="P62" si="48">O62+1</f>
        <v>2052</v>
      </c>
      <c r="Q62" s="2121">
        <f t="shared" ref="Q62" si="49">P62+1</f>
        <v>2053</v>
      </c>
      <c r="R62" s="2121">
        <f t="shared" ref="R62" si="50">Q62+1</f>
        <v>2054</v>
      </c>
      <c r="S62" s="2123">
        <f t="shared" ref="S62" si="51">R62+1</f>
        <v>2055</v>
      </c>
      <c r="T62" s="247"/>
      <c r="U62" s="247"/>
      <c r="V62" s="247"/>
      <c r="W62" s="247"/>
      <c r="X62" s="247"/>
      <c r="Y62" s="247"/>
      <c r="Z62" s="247"/>
      <c r="AA62" s="247"/>
      <c r="AB62" s="247"/>
      <c r="AC62" s="247"/>
    </row>
    <row r="63" spans="1:29" ht="12.75" customHeight="1" thickBot="1" x14ac:dyDescent="0.35">
      <c r="A63" s="245"/>
      <c r="B63" s="294" t="s">
        <v>5</v>
      </c>
      <c r="C63" s="546"/>
      <c r="D63" s="1718"/>
      <c r="E63" s="2142">
        <f>S58+1</f>
        <v>1</v>
      </c>
      <c r="F63" s="2122"/>
      <c r="G63" s="2122"/>
      <c r="H63" s="2122"/>
      <c r="I63" s="2122"/>
      <c r="J63" s="2122"/>
      <c r="K63" s="2122"/>
      <c r="L63" s="2122"/>
      <c r="M63" s="2122"/>
      <c r="N63" s="2122"/>
      <c r="O63" s="2122"/>
      <c r="P63" s="2122"/>
      <c r="Q63" s="2122"/>
      <c r="R63" s="2122"/>
      <c r="S63" s="2124"/>
      <c r="T63" s="247"/>
      <c r="U63" s="247"/>
      <c r="V63" s="247"/>
      <c r="W63" s="247"/>
      <c r="X63" s="247"/>
      <c r="Y63" s="247"/>
      <c r="Z63" s="247"/>
      <c r="AA63" s="247"/>
      <c r="AB63" s="247"/>
      <c r="AC63" s="247"/>
    </row>
    <row r="64" spans="1:29" ht="12.75" customHeight="1" x14ac:dyDescent="0.3">
      <c r="A64" s="254"/>
      <c r="B64" s="1363">
        <f>B59</f>
        <v>0</v>
      </c>
      <c r="C64" s="1186" t="str">
        <f>C59</f>
        <v xml:space="preserve">úspory CO2 (t) </v>
      </c>
      <c r="D64" s="1364"/>
      <c r="E64" s="1211">
        <f t="shared" ref="E64:O64" si="52">E298-E278</f>
        <v>0</v>
      </c>
      <c r="F64" s="1187">
        <f t="shared" si="52"/>
        <v>0</v>
      </c>
      <c r="G64" s="1187">
        <f t="shared" si="52"/>
        <v>0</v>
      </c>
      <c r="H64" s="1187">
        <f t="shared" si="52"/>
        <v>0</v>
      </c>
      <c r="I64" s="1187">
        <f t="shared" si="52"/>
        <v>0</v>
      </c>
      <c r="J64" s="1187">
        <f t="shared" si="52"/>
        <v>0</v>
      </c>
      <c r="K64" s="1187">
        <f t="shared" si="52"/>
        <v>0</v>
      </c>
      <c r="L64" s="1187">
        <f t="shared" si="52"/>
        <v>0</v>
      </c>
      <c r="M64" s="1187">
        <f t="shared" si="52"/>
        <v>0</v>
      </c>
      <c r="N64" s="1187">
        <f t="shared" si="52"/>
        <v>0</v>
      </c>
      <c r="O64" s="1187">
        <f t="shared" si="52"/>
        <v>0</v>
      </c>
      <c r="P64" s="1187">
        <f t="shared" ref="P64:S64" si="53">P298-P278</f>
        <v>0</v>
      </c>
      <c r="Q64" s="1187">
        <f t="shared" si="53"/>
        <v>0</v>
      </c>
      <c r="R64" s="1187">
        <f t="shared" si="53"/>
        <v>0</v>
      </c>
      <c r="S64" s="1215">
        <f t="shared" si="53"/>
        <v>0</v>
      </c>
      <c r="T64" s="236"/>
      <c r="U64" s="236"/>
      <c r="V64" s="236"/>
      <c r="W64" s="236"/>
      <c r="X64" s="236"/>
      <c r="Y64" s="236"/>
      <c r="Z64" s="236"/>
      <c r="AA64" s="236"/>
      <c r="AB64" s="236"/>
      <c r="AC64" s="236"/>
    </row>
    <row r="65" spans="1:29" ht="12.75" customHeight="1" thickBot="1" x14ac:dyDescent="0.35">
      <c r="A65" s="245"/>
      <c r="B65" s="244"/>
      <c r="C65" s="1190" t="str">
        <f>C60</f>
        <v xml:space="preserve">úspory CO2 (t) </v>
      </c>
      <c r="D65" s="1719"/>
      <c r="E65" s="1192">
        <f t="shared" ref="E65:S65" si="54">SUM(E64:E64)</f>
        <v>0</v>
      </c>
      <c r="F65" s="1193">
        <f t="shared" si="54"/>
        <v>0</v>
      </c>
      <c r="G65" s="1193">
        <f t="shared" si="54"/>
        <v>0</v>
      </c>
      <c r="H65" s="1193">
        <f t="shared" si="54"/>
        <v>0</v>
      </c>
      <c r="I65" s="1193">
        <f t="shared" si="54"/>
        <v>0</v>
      </c>
      <c r="J65" s="1193">
        <f t="shared" si="54"/>
        <v>0</v>
      </c>
      <c r="K65" s="1193">
        <f t="shared" si="54"/>
        <v>0</v>
      </c>
      <c r="L65" s="1193">
        <f t="shared" si="54"/>
        <v>0</v>
      </c>
      <c r="M65" s="1193">
        <f t="shared" si="54"/>
        <v>0</v>
      </c>
      <c r="N65" s="1193">
        <f t="shared" si="54"/>
        <v>0</v>
      </c>
      <c r="O65" s="1193">
        <f t="shared" si="54"/>
        <v>0</v>
      </c>
      <c r="P65" s="1193">
        <f t="shared" si="54"/>
        <v>0</v>
      </c>
      <c r="Q65" s="1193">
        <f t="shared" si="54"/>
        <v>0</v>
      </c>
      <c r="R65" s="1193">
        <f t="shared" si="54"/>
        <v>0</v>
      </c>
      <c r="S65" s="1194">
        <f t="shared" si="54"/>
        <v>0</v>
      </c>
      <c r="T65" s="237"/>
      <c r="U65" s="237"/>
      <c r="V65" s="237"/>
      <c r="W65" s="237"/>
      <c r="X65" s="237"/>
      <c r="Y65" s="237"/>
      <c r="Z65" s="237"/>
      <c r="AA65" s="237"/>
      <c r="AB65" s="237"/>
      <c r="AC65" s="237"/>
    </row>
    <row r="66" spans="1:29" ht="14.25" thickBot="1" x14ac:dyDescent="0.35">
      <c r="B66" s="585"/>
      <c r="C66" s="585"/>
      <c r="D66" s="1383"/>
      <c r="E66" s="585"/>
      <c r="F66" s="585"/>
      <c r="G66" s="585"/>
      <c r="H66" s="585"/>
      <c r="I66" s="585"/>
      <c r="J66" s="585"/>
      <c r="K66" s="585"/>
      <c r="L66" s="585"/>
      <c r="M66" s="585"/>
      <c r="N66" s="585"/>
      <c r="O66" s="585"/>
      <c r="P66" s="585"/>
      <c r="Q66" s="585"/>
      <c r="R66" s="585"/>
      <c r="S66" s="585"/>
    </row>
    <row r="67" spans="1:29" hidden="1" x14ac:dyDescent="0.3">
      <c r="B67" s="585"/>
      <c r="C67" s="585"/>
      <c r="D67" s="1383"/>
      <c r="E67" s="585"/>
      <c r="F67" s="585"/>
      <c r="G67" s="585"/>
      <c r="H67" s="585"/>
      <c r="I67" s="585"/>
      <c r="J67" s="585"/>
      <c r="K67" s="585"/>
      <c r="L67" s="585"/>
      <c r="M67" s="585"/>
      <c r="N67" s="585"/>
      <c r="O67" s="585"/>
      <c r="P67" s="585"/>
      <c r="Q67" s="585"/>
      <c r="R67" s="585"/>
      <c r="S67" s="585"/>
    </row>
    <row r="68" spans="1:29" hidden="1" x14ac:dyDescent="0.3">
      <c r="B68" s="585"/>
      <c r="C68" s="585"/>
      <c r="D68" s="1383"/>
      <c r="E68" s="585"/>
      <c r="F68" s="585"/>
      <c r="G68" s="585"/>
      <c r="H68" s="585"/>
      <c r="I68" s="585"/>
      <c r="J68" s="585"/>
      <c r="K68" s="585"/>
      <c r="L68" s="585"/>
      <c r="M68" s="585"/>
      <c r="N68" s="585"/>
      <c r="O68" s="585"/>
      <c r="P68" s="585"/>
      <c r="Q68" s="585"/>
      <c r="R68" s="585"/>
      <c r="S68" s="585"/>
    </row>
    <row r="69" spans="1:29" hidden="1" x14ac:dyDescent="0.3">
      <c r="B69" s="585"/>
      <c r="C69" s="585"/>
      <c r="D69" s="1383"/>
      <c r="E69" s="585"/>
      <c r="F69" s="585"/>
      <c r="G69" s="585"/>
      <c r="H69" s="585"/>
      <c r="I69" s="585"/>
      <c r="J69" s="585"/>
      <c r="K69" s="585"/>
      <c r="L69" s="585"/>
      <c r="M69" s="585"/>
      <c r="N69" s="585"/>
      <c r="O69" s="585"/>
      <c r="P69" s="585"/>
      <c r="Q69" s="585"/>
      <c r="R69" s="585"/>
      <c r="S69" s="585"/>
    </row>
    <row r="70" spans="1:29" hidden="1" x14ac:dyDescent="0.3">
      <c r="B70" s="585" t="s">
        <v>1463</v>
      </c>
      <c r="C70" s="585"/>
      <c r="D70" s="1383"/>
      <c r="E70" s="1384">
        <f>IFERROR(HLOOKUP($D$80,'0 Úvod'!$D$90:$M$97,7,FALSE),1)</f>
        <v>1.610545985331985</v>
      </c>
      <c r="F70" s="585"/>
      <c r="G70" s="585"/>
      <c r="H70" s="585"/>
      <c r="I70" s="585"/>
      <c r="J70" s="585"/>
      <c r="K70" s="585"/>
      <c r="L70" s="585"/>
      <c r="M70" s="585"/>
      <c r="N70" s="585"/>
      <c r="O70" s="585"/>
      <c r="P70" s="585"/>
      <c r="Q70" s="585"/>
      <c r="R70" s="585"/>
      <c r="S70" s="585"/>
    </row>
    <row r="71" spans="1:29" ht="14.25" hidden="1" x14ac:dyDescent="0.3">
      <c r="B71" s="585" t="s">
        <v>1464</v>
      </c>
      <c r="C71" s="1385"/>
      <c r="D71" s="1385"/>
      <c r="E71" s="1384">
        <f>IFERROR(HLOOKUP($D$80,'0 Úvod'!$D$90:$M$97,8,FALSE),1)</f>
        <v>1.5211239340728759</v>
      </c>
      <c r="F71" s="1385"/>
      <c r="G71" s="1385"/>
      <c r="H71" s="1386"/>
      <c r="I71" s="585"/>
      <c r="J71" s="585"/>
      <c r="K71" s="585"/>
      <c r="L71" s="585"/>
      <c r="M71" s="585"/>
      <c r="N71" s="585"/>
      <c r="O71" s="585"/>
      <c r="P71" s="585"/>
      <c r="Q71" s="585"/>
      <c r="R71" s="585"/>
      <c r="S71" s="585"/>
    </row>
    <row r="72" spans="1:29" ht="13.15" hidden="1" customHeight="1" thickBot="1" x14ac:dyDescent="0.35">
      <c r="B72" s="1387"/>
      <c r="C72" s="1388"/>
      <c r="D72" s="1240"/>
      <c r="E72" s="1240"/>
      <c r="F72" s="1240"/>
      <c r="G72" s="1240"/>
      <c r="H72" s="1386"/>
      <c r="I72" s="1386"/>
      <c r="J72" s="1386"/>
      <c r="K72" s="1386"/>
      <c r="L72" s="1386"/>
      <c r="M72" s="1386"/>
      <c r="N72" s="585"/>
      <c r="O72" s="585"/>
      <c r="P72" s="585"/>
      <c r="Q72" s="585"/>
      <c r="R72" s="585"/>
      <c r="S72" s="585"/>
    </row>
    <row r="73" spans="1:29" ht="15" hidden="1" customHeight="1" thickBot="1" x14ac:dyDescent="0.35">
      <c r="B73" s="2067" t="s">
        <v>1501</v>
      </c>
      <c r="C73" s="2106" t="str">
        <f>IF('0 Úvod'!$M$10="English",Slovnik!$D$330,Slovnik!$C$330)</f>
        <v>Společenské náklady ZNEČIŠTĚNÍ ŽIVOTNÍHO PROSTŘEDÍ a emisí SKLENÍKOVÝCH PLYNŮ</v>
      </c>
      <c r="D73" s="2107"/>
      <c r="E73" s="2107"/>
      <c r="F73" s="2107"/>
      <c r="G73" s="2107"/>
      <c r="H73" s="2107"/>
      <c r="I73" s="2107"/>
      <c r="J73" s="2108"/>
      <c r="K73" s="585"/>
      <c r="L73" s="585"/>
      <c r="M73" s="585"/>
      <c r="N73" s="585"/>
      <c r="O73" s="585"/>
      <c r="P73" s="585"/>
      <c r="Q73" s="585"/>
      <c r="R73" s="585"/>
      <c r="S73" s="585"/>
    </row>
    <row r="74" spans="1:29" ht="14.25" hidden="1" x14ac:dyDescent="0.3">
      <c r="B74" s="2068"/>
      <c r="C74" s="1389" t="str">
        <f>IF('0 Úvod'!$M$10="English",Slovnik!D331,Slovnik!C331)</f>
        <v>charakter zástavby</v>
      </c>
      <c r="D74" s="2070"/>
      <c r="E74" s="2071"/>
      <c r="F74" s="2071"/>
      <c r="G74" s="2071"/>
      <c r="H74" s="2071"/>
      <c r="I74" s="2072"/>
      <c r="J74" s="2082"/>
      <c r="K74" s="585"/>
      <c r="L74" s="585"/>
      <c r="M74" s="585"/>
      <c r="N74" s="585"/>
      <c r="O74" s="585"/>
      <c r="P74" s="585"/>
      <c r="Q74" s="585"/>
      <c r="R74" s="585"/>
      <c r="S74" s="585"/>
    </row>
    <row r="75" spans="1:29" ht="15" hidden="1" customHeight="1" thickBot="1" x14ac:dyDescent="0.35">
      <c r="B75" s="2068"/>
      <c r="C75" s="1390" t="s">
        <v>667</v>
      </c>
      <c r="D75" s="1391" t="s">
        <v>35</v>
      </c>
      <c r="E75" s="1392" t="s">
        <v>36</v>
      </c>
      <c r="F75" s="1392" t="s">
        <v>37</v>
      </c>
      <c r="G75" s="1392" t="s">
        <v>38</v>
      </c>
      <c r="H75" s="1392" t="s">
        <v>39</v>
      </c>
      <c r="I75" s="1393" t="s">
        <v>40</v>
      </c>
      <c r="J75" s="2088"/>
      <c r="K75" s="585"/>
      <c r="L75" s="585"/>
      <c r="M75" s="585"/>
      <c r="N75" s="585"/>
      <c r="O75" s="585"/>
      <c r="P75" s="585"/>
      <c r="Q75" s="585"/>
      <c r="R75" s="585"/>
      <c r="S75" s="585"/>
    </row>
    <row r="76" spans="1:29" ht="14.25" hidden="1" x14ac:dyDescent="0.3">
      <c r="B76" s="2068"/>
      <c r="C76" s="1394" t="s">
        <v>131</v>
      </c>
      <c r="D76" s="2100">
        <v>2017</v>
      </c>
      <c r="E76" s="2101"/>
      <c r="F76" s="2101"/>
      <c r="G76" s="2101"/>
      <c r="H76" s="2101"/>
      <c r="I76" s="2101"/>
      <c r="J76" s="2102"/>
      <c r="K76" s="585"/>
      <c r="L76" s="585"/>
      <c r="M76" s="585"/>
      <c r="N76" s="585"/>
      <c r="O76" s="585"/>
      <c r="P76" s="585"/>
      <c r="Q76" s="585"/>
      <c r="R76" s="585"/>
      <c r="S76" s="585"/>
    </row>
    <row r="77" spans="1:29" ht="13.9" hidden="1" customHeight="1" x14ac:dyDescent="0.3">
      <c r="B77" s="2068"/>
      <c r="C77" s="1395" t="str">
        <f>IF('0 Úvod'!$M$10="English",Slovnik!D334,Slovnik!C333)</f>
        <v>mimo město</v>
      </c>
      <c r="D77" s="2073">
        <v>2877</v>
      </c>
      <c r="E77" s="2075">
        <v>504724</v>
      </c>
      <c r="F77" s="2075">
        <v>451145</v>
      </c>
      <c r="G77" s="2075">
        <v>52685</v>
      </c>
      <c r="H77" s="1396">
        <v>1375556</v>
      </c>
      <c r="I77" s="1397">
        <v>551095</v>
      </c>
      <c r="J77" s="2056" t="s">
        <v>41</v>
      </c>
      <c r="K77" s="585"/>
      <c r="L77" s="585"/>
      <c r="M77" s="585"/>
      <c r="N77" s="585"/>
      <c r="O77" s="585"/>
      <c r="P77" s="585"/>
      <c r="Q77" s="585"/>
      <c r="R77" s="585"/>
      <c r="S77" s="585"/>
    </row>
    <row r="78" spans="1:29" ht="13.9" hidden="1" customHeight="1" x14ac:dyDescent="0.3">
      <c r="B78" s="2068"/>
      <c r="C78" s="1395" t="str">
        <f>IF('0 Úvod'!$M$10="English",Slovnik!D335,Slovnik!C334)</f>
        <v>předměstí</v>
      </c>
      <c r="D78" s="2073"/>
      <c r="E78" s="2075"/>
      <c r="F78" s="2075"/>
      <c r="G78" s="2075"/>
      <c r="H78" s="1398">
        <v>2187533</v>
      </c>
      <c r="I78" s="1399">
        <v>875725</v>
      </c>
      <c r="J78" s="2057"/>
      <c r="K78" s="585"/>
      <c r="L78" s="585"/>
      <c r="M78" s="585"/>
      <c r="N78" s="585"/>
      <c r="O78" s="585"/>
      <c r="P78" s="585"/>
      <c r="Q78" s="585"/>
      <c r="R78" s="585"/>
      <c r="S78" s="585"/>
    </row>
    <row r="79" spans="1:29" ht="15" hidden="1" thickBot="1" x14ac:dyDescent="0.35">
      <c r="B79" s="2068"/>
      <c r="C79" s="1400" t="str">
        <f>IF('0 Úvod'!$M$10="English",Slovnik!D336,Slovnik!C335)</f>
        <v>město</v>
      </c>
      <c r="D79" s="2074"/>
      <c r="E79" s="2076"/>
      <c r="F79" s="2076"/>
      <c r="G79" s="2076"/>
      <c r="H79" s="1401">
        <v>6894628</v>
      </c>
      <c r="I79" s="1402">
        <v>2760095</v>
      </c>
      <c r="J79" s="2058"/>
      <c r="K79" s="585"/>
      <c r="L79" s="585"/>
      <c r="M79" s="585"/>
      <c r="N79" s="585"/>
      <c r="O79" s="585"/>
      <c r="P79" s="585"/>
      <c r="Q79" s="585"/>
      <c r="R79" s="585"/>
      <c r="S79" s="585"/>
    </row>
    <row r="80" spans="1:29" ht="14.25" hidden="1" x14ac:dyDescent="0.3">
      <c r="B80" s="2068"/>
      <c r="C80" s="1403" t="s">
        <v>131</v>
      </c>
      <c r="D80" s="2103">
        <f>'0 Úvod'!D18</f>
        <v>2025</v>
      </c>
      <c r="E80" s="2104"/>
      <c r="F80" s="2104"/>
      <c r="G80" s="2104"/>
      <c r="H80" s="2104"/>
      <c r="I80" s="2104"/>
      <c r="J80" s="2105"/>
      <c r="K80" s="585"/>
      <c r="L80" s="585"/>
      <c r="M80" s="585"/>
      <c r="N80" s="585"/>
      <c r="O80" s="585"/>
      <c r="P80" s="585"/>
      <c r="Q80" s="585"/>
      <c r="R80" s="585"/>
      <c r="S80" s="585"/>
    </row>
    <row r="81" spans="2:21" ht="14.25" hidden="1" x14ac:dyDescent="0.3">
      <c r="B81" s="2068"/>
      <c r="C81" s="1395" t="str">
        <f>IF('0 Úvod'!$M$10="English",Slovnik!D334,Slovnik!C333)</f>
        <v>mimo město</v>
      </c>
      <c r="D81" s="2077">
        <f>D77*$E$70</f>
        <v>4633.540799800121</v>
      </c>
      <c r="E81" s="2077">
        <f t="shared" ref="E81:G81" si="55">E77*$E$70</f>
        <v>812881.21190070082</v>
      </c>
      <c r="F81" s="2077">
        <f t="shared" si="55"/>
        <v>726589.76855259843</v>
      </c>
      <c r="G81" s="2077">
        <f t="shared" si="55"/>
        <v>84851.615237215636</v>
      </c>
      <c r="H81" s="1404">
        <f>H77*$E$70</f>
        <v>2215396.1933993241</v>
      </c>
      <c r="I81" s="1404">
        <f>I77*$E$70</f>
        <v>887563.83978653024</v>
      </c>
      <c r="J81" s="2056" t="s">
        <v>41</v>
      </c>
      <c r="K81" s="585"/>
      <c r="L81" s="585"/>
      <c r="M81" s="585"/>
      <c r="N81" s="585"/>
      <c r="O81" s="585"/>
      <c r="P81" s="585"/>
      <c r="Q81" s="585"/>
      <c r="R81" s="585"/>
      <c r="S81" s="585"/>
    </row>
    <row r="82" spans="2:21" ht="14.25" hidden="1" x14ac:dyDescent="0.3">
      <c r="B82" s="2068"/>
      <c r="C82" s="1395" t="str">
        <f>IF('0 Úvod'!$M$10="English",Slovnik!D335,Slovnik!C334)</f>
        <v>předměstí</v>
      </c>
      <c r="D82" s="2077"/>
      <c r="E82" s="2077"/>
      <c r="F82" s="2077"/>
      <c r="G82" s="2077"/>
      <c r="H82" s="1404">
        <f t="shared" ref="H82:I83" si="56">H78*$E$70</f>
        <v>3523122.4909312334</v>
      </c>
      <c r="I82" s="1404">
        <f t="shared" si="56"/>
        <v>1410395.3830048526</v>
      </c>
      <c r="J82" s="2057"/>
      <c r="K82" s="585"/>
      <c r="L82" s="585"/>
      <c r="M82" s="585"/>
      <c r="N82" s="585"/>
      <c r="O82" s="585"/>
      <c r="P82" s="585"/>
      <c r="Q82" s="585"/>
      <c r="R82" s="585"/>
      <c r="S82" s="585"/>
    </row>
    <row r="83" spans="2:21" ht="15" hidden="1" thickBot="1" x14ac:dyDescent="0.35">
      <c r="B83" s="2069"/>
      <c r="C83" s="1400" t="str">
        <f>IF('0 Úvod'!$M$10="English",Slovnik!D336,Slovnik!C335)</f>
        <v>město</v>
      </c>
      <c r="D83" s="2078"/>
      <c r="E83" s="2078"/>
      <c r="F83" s="2078"/>
      <c r="G83" s="2078"/>
      <c r="H83" s="1404">
        <f t="shared" si="56"/>
        <v>11104115.445757493</v>
      </c>
      <c r="I83" s="1404">
        <f t="shared" si="56"/>
        <v>4445259.921384885</v>
      </c>
      <c r="J83" s="2058"/>
      <c r="K83" s="585"/>
      <c r="L83" s="585"/>
      <c r="M83" s="585"/>
      <c r="N83" s="585"/>
      <c r="O83" s="585"/>
      <c r="P83" s="585"/>
      <c r="Q83" s="585"/>
      <c r="R83" s="585"/>
      <c r="S83" s="585"/>
    </row>
    <row r="84" spans="2:21" ht="13.15" hidden="1" customHeight="1" x14ac:dyDescent="0.3">
      <c r="B84" s="1387"/>
      <c r="C84" s="1405" t="str">
        <f>IF('0 Úvod'!$M$10="English",Slovnik!$E$342,Slovnik!$E$341)</f>
        <v>Zdroj: Aktualizovaná příručka o externích nákladech dopravy, RICARDO-AEA, zpráva pro EK, GŘ pro dopravu a mobilitu, vyd. 01/2014</v>
      </c>
      <c r="D84" s="1240"/>
      <c r="E84" s="1240"/>
      <c r="F84" s="1240"/>
      <c r="G84" s="1240"/>
      <c r="H84" s="1406"/>
      <c r="I84" s="1406"/>
      <c r="J84" s="1386"/>
      <c r="K84" s="585"/>
      <c r="L84" s="585"/>
      <c r="M84" s="585"/>
      <c r="N84" s="585"/>
      <c r="O84" s="585"/>
      <c r="P84" s="585"/>
      <c r="Q84" s="585"/>
      <c r="R84" s="585"/>
      <c r="S84" s="585"/>
    </row>
    <row r="85" spans="2:21" ht="13.15" hidden="1" customHeight="1" x14ac:dyDescent="0.3">
      <c r="B85" s="1387"/>
      <c r="C85" s="1407" t="str">
        <f>IF('0 Úvod'!$M$10="English",Slovnik!$E$345,Slovnik!$E$344)</f>
        <v>Pozn: město - nad 1500 obyvatel/km2; předměstí - 300 obyvatel/km2; mimo město - méně než 150 obyvatel/km2; *hodnoty CO2 platné pouze do roku 2021!</v>
      </c>
      <c r="D85" s="1240"/>
      <c r="E85" s="1240"/>
      <c r="F85" s="1240"/>
      <c r="G85" s="1240"/>
      <c r="H85" s="1386"/>
      <c r="I85" s="1386"/>
      <c r="J85" s="1386"/>
      <c r="K85" s="585"/>
      <c r="L85" s="585"/>
      <c r="M85" s="585"/>
      <c r="N85" s="585"/>
      <c r="O85" s="585"/>
      <c r="P85" s="585"/>
      <c r="Q85" s="585"/>
      <c r="R85" s="585"/>
      <c r="S85" s="585"/>
    </row>
    <row r="86" spans="2:21" ht="13.15" hidden="1" customHeight="1" thickBot="1" x14ac:dyDescent="0.35">
      <c r="B86" s="1387"/>
      <c r="C86" s="1407"/>
      <c r="D86" s="1240"/>
      <c r="E86" s="1240"/>
      <c r="F86" s="1240"/>
      <c r="G86" s="1240"/>
      <c r="H86" s="1386"/>
      <c r="I86" s="1386"/>
      <c r="J86" s="1386"/>
      <c r="K86" s="585"/>
      <c r="L86" s="585"/>
      <c r="M86" s="585"/>
      <c r="N86" s="585"/>
      <c r="O86" s="585"/>
      <c r="P86" s="585"/>
      <c r="Q86" s="585"/>
      <c r="R86" s="585"/>
      <c r="S86" s="585"/>
    </row>
    <row r="87" spans="2:21" ht="13.15" hidden="1" customHeight="1" thickBot="1" x14ac:dyDescent="0.35">
      <c r="B87" s="1387"/>
      <c r="C87" s="1407" t="s">
        <v>1497</v>
      </c>
      <c r="D87" s="1240"/>
      <c r="E87" s="1392" t="s">
        <v>36</v>
      </c>
      <c r="F87" s="1392" t="s">
        <v>37</v>
      </c>
      <c r="G87" s="1392" t="s">
        <v>39</v>
      </c>
      <c r="H87" s="1393" t="s">
        <v>40</v>
      </c>
      <c r="I87" s="1386"/>
      <c r="J87" s="585"/>
      <c r="K87" s="585"/>
      <c r="L87" s="585"/>
      <c r="M87" s="585"/>
      <c r="N87" s="585"/>
      <c r="O87" s="585"/>
      <c r="P87" s="585"/>
      <c r="Q87" s="585"/>
      <c r="R87" s="585"/>
      <c r="S87" s="585"/>
    </row>
    <row r="88" spans="2:21" ht="13.15" hidden="1" customHeight="1" x14ac:dyDescent="0.3">
      <c r="B88" s="1387"/>
      <c r="C88" s="1407"/>
      <c r="D88" s="1240"/>
      <c r="E88" s="1408">
        <f>E81</f>
        <v>812881.21190070082</v>
      </c>
      <c r="F88" s="1408">
        <f>F81</f>
        <v>726589.76855259843</v>
      </c>
      <c r="G88" s="1408">
        <f>H83</f>
        <v>11104115.445757493</v>
      </c>
      <c r="H88" s="1078">
        <f>I83</f>
        <v>4445259.921384885</v>
      </c>
      <c r="I88" s="1386"/>
      <c r="J88" s="1386"/>
      <c r="K88" s="585"/>
      <c r="L88" s="585"/>
      <c r="M88" s="585"/>
      <c r="N88" s="585"/>
      <c r="O88" s="585"/>
      <c r="P88" s="585"/>
      <c r="Q88" s="585"/>
      <c r="R88" s="585"/>
      <c r="S88" s="585"/>
    </row>
    <row r="89" spans="2:21" ht="13.15" hidden="1" customHeight="1" x14ac:dyDescent="0.3">
      <c r="B89" s="1387"/>
      <c r="C89" s="1407"/>
      <c r="D89" s="1240"/>
      <c r="E89" s="1408"/>
      <c r="F89" s="1408"/>
      <c r="G89" s="1408"/>
      <c r="H89" s="1078"/>
      <c r="I89" s="1386"/>
      <c r="J89" s="1386"/>
      <c r="K89" s="585"/>
      <c r="L89" s="585"/>
      <c r="M89" s="585"/>
      <c r="N89" s="585"/>
      <c r="O89" s="585"/>
      <c r="P89" s="585"/>
      <c r="Q89" s="585"/>
      <c r="R89" s="585"/>
      <c r="S89" s="585"/>
    </row>
    <row r="90" spans="2:21" ht="13.15" hidden="1" customHeight="1" thickBot="1" x14ac:dyDescent="0.35">
      <c r="B90" s="1387"/>
      <c r="C90" s="1407"/>
      <c r="D90" s="1240"/>
      <c r="E90" s="1240"/>
      <c r="F90" s="1240"/>
      <c r="G90" s="1240"/>
      <c r="H90" s="1386"/>
      <c r="I90" s="1386"/>
      <c r="J90" s="1386"/>
      <c r="K90" s="585"/>
      <c r="L90" s="585"/>
      <c r="M90" s="585"/>
      <c r="N90" s="585"/>
      <c r="O90" s="585"/>
      <c r="P90" s="585"/>
      <c r="Q90" s="585"/>
      <c r="R90" s="585"/>
      <c r="S90" s="585"/>
    </row>
    <row r="91" spans="2:21" ht="13.15" customHeight="1" thickBot="1" x14ac:dyDescent="0.35">
      <c r="B91" s="2067" t="s">
        <v>1512</v>
      </c>
      <c r="C91" s="2107" t="str">
        <f>IF('0 Úvod'!$M$10="English",Slovnik!$E$331,Slovnik!$E$330)</f>
        <v>Společenské náklady emisí CO2 po roce 2022</v>
      </c>
      <c r="D91" s="2107"/>
      <c r="E91" s="2107"/>
      <c r="F91" s="2107"/>
      <c r="G91" s="2107"/>
      <c r="H91" s="2107"/>
      <c r="I91" s="2107"/>
      <c r="J91" s="2107"/>
      <c r="K91" s="2107"/>
      <c r="L91" s="2107"/>
      <c r="M91" s="2107"/>
      <c r="N91" s="2107"/>
      <c r="O91" s="2107"/>
      <c r="P91" s="2107"/>
      <c r="Q91" s="2107"/>
      <c r="R91" s="2108"/>
      <c r="S91" s="585"/>
    </row>
    <row r="92" spans="2:21" ht="13.15" customHeight="1" thickBot="1" x14ac:dyDescent="0.35">
      <c r="B92" s="2068"/>
      <c r="C92" s="1727" t="str">
        <f>IF('0 Úvod'!$M$10="English",Slovnik!D22,Slovnik!C22)</f>
        <v>rok</v>
      </c>
      <c r="D92" s="1410">
        <v>2022</v>
      </c>
      <c r="E92" s="1411">
        <v>2023</v>
      </c>
      <c r="F92" s="1411">
        <v>2024</v>
      </c>
      <c r="G92" s="1411">
        <v>2025</v>
      </c>
      <c r="H92" s="1411">
        <v>2026</v>
      </c>
      <c r="I92" s="1411">
        <v>2027</v>
      </c>
      <c r="J92" s="1411">
        <v>2028</v>
      </c>
      <c r="K92" s="1411">
        <v>2029</v>
      </c>
      <c r="L92" s="1411">
        <v>2030</v>
      </c>
      <c r="M92" s="1411">
        <v>2031</v>
      </c>
      <c r="N92" s="1411">
        <v>2032</v>
      </c>
      <c r="O92" s="1411">
        <v>2033</v>
      </c>
      <c r="P92" s="1411">
        <v>2034</v>
      </c>
      <c r="Q92" s="1411">
        <v>2035</v>
      </c>
      <c r="R92" s="1412">
        <v>2036</v>
      </c>
      <c r="S92" s="585"/>
    </row>
    <row r="93" spans="2:21" ht="13.15" customHeight="1" thickBot="1" x14ac:dyDescent="0.35">
      <c r="B93" s="2068"/>
      <c r="C93" s="1728" t="str">
        <f>C80</f>
        <v>CÚ</v>
      </c>
      <c r="D93" s="2146">
        <v>2017</v>
      </c>
      <c r="E93" s="2147"/>
      <c r="F93" s="2147"/>
      <c r="G93" s="2147"/>
      <c r="H93" s="2147"/>
      <c r="I93" s="2147"/>
      <c r="J93" s="2147"/>
      <c r="K93" s="2147"/>
      <c r="L93" s="2147"/>
      <c r="M93" s="2147"/>
      <c r="N93" s="2147"/>
      <c r="O93" s="2147"/>
      <c r="P93" s="2147"/>
      <c r="Q93" s="2147"/>
      <c r="R93" s="2148"/>
      <c r="S93" s="585"/>
      <c r="U93" s="299"/>
    </row>
    <row r="94" spans="2:21" ht="13.15" customHeight="1" thickBot="1" x14ac:dyDescent="0.35">
      <c r="B94" s="2068"/>
      <c r="C94" s="1729" t="s">
        <v>41</v>
      </c>
      <c r="D94" s="1413">
        <v>3128</v>
      </c>
      <c r="E94" s="1414">
        <v>3594</v>
      </c>
      <c r="F94" s="1414">
        <v>4061</v>
      </c>
      <c r="G94" s="1414">
        <v>4527</v>
      </c>
      <c r="H94" s="1415">
        <v>4994</v>
      </c>
      <c r="I94" s="1415">
        <v>5460</v>
      </c>
      <c r="J94" s="1414">
        <v>5927</v>
      </c>
      <c r="K94" s="1416">
        <v>6393</v>
      </c>
      <c r="L94" s="1416">
        <v>6860</v>
      </c>
      <c r="M94" s="1416">
        <v>7628</v>
      </c>
      <c r="N94" s="1416">
        <v>8396</v>
      </c>
      <c r="O94" s="1416">
        <v>9165</v>
      </c>
      <c r="P94" s="1416">
        <v>9933</v>
      </c>
      <c r="Q94" s="1416">
        <v>10701</v>
      </c>
      <c r="R94" s="1417">
        <v>11442</v>
      </c>
      <c r="S94" s="585"/>
      <c r="U94" s="299"/>
    </row>
    <row r="95" spans="2:21" ht="13.15" customHeight="1" thickBot="1" x14ac:dyDescent="0.35">
      <c r="B95" s="2068"/>
      <c r="C95" s="1730" t="str">
        <f>C92</f>
        <v>rok</v>
      </c>
      <c r="D95" s="1410">
        <v>2037</v>
      </c>
      <c r="E95" s="1411">
        <v>2038</v>
      </c>
      <c r="F95" s="1411">
        <v>2039</v>
      </c>
      <c r="G95" s="1411">
        <v>2040</v>
      </c>
      <c r="H95" s="1411">
        <v>2041</v>
      </c>
      <c r="I95" s="1411">
        <v>2042</v>
      </c>
      <c r="J95" s="1411">
        <v>2043</v>
      </c>
      <c r="K95" s="1411">
        <v>2044</v>
      </c>
      <c r="L95" s="1411">
        <v>2045</v>
      </c>
      <c r="M95" s="1411">
        <v>2046</v>
      </c>
      <c r="N95" s="1411">
        <v>2047</v>
      </c>
      <c r="O95" s="1411">
        <v>2048</v>
      </c>
      <c r="P95" s="1411">
        <v>2049</v>
      </c>
      <c r="Q95" s="1411">
        <v>2050</v>
      </c>
      <c r="R95" s="1412">
        <v>2051</v>
      </c>
      <c r="S95" s="585"/>
      <c r="U95" s="299"/>
    </row>
    <row r="96" spans="2:21" ht="13.15" customHeight="1" thickBot="1" x14ac:dyDescent="0.35">
      <c r="B96" s="2068"/>
      <c r="C96" s="1731" t="str">
        <f>C93</f>
        <v>CÚ</v>
      </c>
      <c r="D96" s="2146">
        <v>2017</v>
      </c>
      <c r="E96" s="2147"/>
      <c r="F96" s="2147"/>
      <c r="G96" s="2147"/>
      <c r="H96" s="2147"/>
      <c r="I96" s="2147"/>
      <c r="J96" s="2147"/>
      <c r="K96" s="2147"/>
      <c r="L96" s="2147"/>
      <c r="M96" s="2147"/>
      <c r="N96" s="2147"/>
      <c r="O96" s="2147"/>
      <c r="P96" s="2147"/>
      <c r="Q96" s="2147"/>
      <c r="R96" s="2148"/>
      <c r="S96" s="585"/>
      <c r="U96" s="299"/>
    </row>
    <row r="97" spans="2:21" ht="13.15" customHeight="1" thickBot="1" x14ac:dyDescent="0.35">
      <c r="B97" s="2068"/>
      <c r="C97" s="1732" t="str">
        <f>C94</f>
        <v>CZK/t</v>
      </c>
      <c r="D97" s="1413">
        <v>12183</v>
      </c>
      <c r="E97" s="1414">
        <v>12924</v>
      </c>
      <c r="F97" s="1414">
        <v>13665</v>
      </c>
      <c r="G97" s="1414">
        <v>14405</v>
      </c>
      <c r="H97" s="1415">
        <v>15146</v>
      </c>
      <c r="I97" s="1415">
        <v>15887</v>
      </c>
      <c r="J97" s="1414">
        <v>16628</v>
      </c>
      <c r="K97" s="1416">
        <v>17369</v>
      </c>
      <c r="L97" s="1416">
        <v>18110</v>
      </c>
      <c r="M97" s="1416">
        <v>18878</v>
      </c>
      <c r="N97" s="1416">
        <v>19646</v>
      </c>
      <c r="O97" s="1416">
        <v>20414</v>
      </c>
      <c r="P97" s="1416">
        <v>21183</v>
      </c>
      <c r="Q97" s="1416">
        <v>21951</v>
      </c>
      <c r="R97" s="1417">
        <v>21951</v>
      </c>
      <c r="S97" s="585"/>
      <c r="U97" s="299"/>
    </row>
    <row r="98" spans="2:21" ht="13.15" customHeight="1" thickBot="1" x14ac:dyDescent="0.35">
      <c r="B98" s="2068"/>
      <c r="C98" s="1733" t="str">
        <f>C92</f>
        <v>rok</v>
      </c>
      <c r="D98" s="1410">
        <v>2022</v>
      </c>
      <c r="E98" s="1411">
        <v>2023</v>
      </c>
      <c r="F98" s="1411">
        <v>2024</v>
      </c>
      <c r="G98" s="1411">
        <v>2025</v>
      </c>
      <c r="H98" s="1411">
        <v>2026</v>
      </c>
      <c r="I98" s="1411">
        <v>2027</v>
      </c>
      <c r="J98" s="1411">
        <v>2028</v>
      </c>
      <c r="K98" s="1411">
        <v>2029</v>
      </c>
      <c r="L98" s="1411">
        <v>2030</v>
      </c>
      <c r="M98" s="1411">
        <v>2031</v>
      </c>
      <c r="N98" s="1411">
        <v>2032</v>
      </c>
      <c r="O98" s="1411">
        <v>2033</v>
      </c>
      <c r="P98" s="1411">
        <v>2034</v>
      </c>
      <c r="Q98" s="1411">
        <v>2035</v>
      </c>
      <c r="R98" s="1412">
        <v>2036</v>
      </c>
      <c r="S98" s="585"/>
      <c r="U98" s="299"/>
    </row>
    <row r="99" spans="2:21" ht="13.15" customHeight="1" thickBot="1" x14ac:dyDescent="0.35">
      <c r="B99" s="2068"/>
      <c r="C99" s="1734" t="str">
        <f>C93</f>
        <v>CÚ</v>
      </c>
      <c r="D99" s="2149">
        <f>'0 Úvod'!D18</f>
        <v>2025</v>
      </c>
      <c r="E99" s="2150"/>
      <c r="F99" s="2150"/>
      <c r="G99" s="2150"/>
      <c r="H99" s="2150"/>
      <c r="I99" s="2150"/>
      <c r="J99" s="2150"/>
      <c r="K99" s="2150"/>
      <c r="L99" s="2150"/>
      <c r="M99" s="2150"/>
      <c r="N99" s="2150"/>
      <c r="O99" s="2150"/>
      <c r="P99" s="2150"/>
      <c r="Q99" s="2150"/>
      <c r="R99" s="2151"/>
      <c r="S99" s="585"/>
      <c r="U99" s="299"/>
    </row>
    <row r="100" spans="2:21" ht="13.15" customHeight="1" thickBot="1" x14ac:dyDescent="0.35">
      <c r="B100" s="2068"/>
      <c r="C100" s="1729" t="s">
        <v>41</v>
      </c>
      <c r="D100" s="1413">
        <f>D94*$E$71</f>
        <v>4758.0756657799557</v>
      </c>
      <c r="E100" s="1414">
        <f t="shared" ref="E100:R100" si="57">E94*$E$71</f>
        <v>5466.9194190579165</v>
      </c>
      <c r="F100" s="1414">
        <f t="shared" si="57"/>
        <v>6177.2842962699488</v>
      </c>
      <c r="G100" s="1414">
        <f t="shared" si="57"/>
        <v>6886.1280495479095</v>
      </c>
      <c r="H100" s="1415">
        <f t="shared" si="57"/>
        <v>7596.4929267599427</v>
      </c>
      <c r="I100" s="1415">
        <f t="shared" si="57"/>
        <v>8305.3366800379026</v>
      </c>
      <c r="J100" s="1414">
        <f t="shared" si="57"/>
        <v>9015.7015572499349</v>
      </c>
      <c r="K100" s="1416">
        <f t="shared" si="57"/>
        <v>9724.5453105278957</v>
      </c>
      <c r="L100" s="1416">
        <f t="shared" si="57"/>
        <v>10434.91018773993</v>
      </c>
      <c r="M100" s="1416">
        <f t="shared" si="57"/>
        <v>11603.133369107898</v>
      </c>
      <c r="N100" s="1416">
        <f t="shared" si="57"/>
        <v>12771.356550475866</v>
      </c>
      <c r="O100" s="1416">
        <f t="shared" si="57"/>
        <v>13941.100855777908</v>
      </c>
      <c r="P100" s="1416">
        <f t="shared" si="57"/>
        <v>15109.324037145876</v>
      </c>
      <c r="Q100" s="1416">
        <f t="shared" si="57"/>
        <v>16277.547218513846</v>
      </c>
      <c r="R100" s="1417">
        <f t="shared" si="57"/>
        <v>17404.700053661847</v>
      </c>
      <c r="S100" s="1421"/>
      <c r="U100" s="299"/>
    </row>
    <row r="101" spans="2:21" ht="13.15" customHeight="1" thickBot="1" x14ac:dyDescent="0.35">
      <c r="B101" s="2068"/>
      <c r="C101" s="1730" t="str">
        <f>C98</f>
        <v>rok</v>
      </c>
      <c r="D101" s="1410">
        <v>2037</v>
      </c>
      <c r="E101" s="1411">
        <v>2038</v>
      </c>
      <c r="F101" s="1411">
        <v>2039</v>
      </c>
      <c r="G101" s="1411">
        <v>2040</v>
      </c>
      <c r="H101" s="1411">
        <v>2041</v>
      </c>
      <c r="I101" s="1411">
        <v>2042</v>
      </c>
      <c r="J101" s="1411">
        <v>2043</v>
      </c>
      <c r="K101" s="1411">
        <v>2044</v>
      </c>
      <c r="L101" s="1411">
        <v>2045</v>
      </c>
      <c r="M101" s="1411">
        <v>2046</v>
      </c>
      <c r="N101" s="1411">
        <v>2047</v>
      </c>
      <c r="O101" s="1411">
        <v>2048</v>
      </c>
      <c r="P101" s="1411">
        <v>2049</v>
      </c>
      <c r="Q101" s="1411">
        <v>2050</v>
      </c>
      <c r="R101" s="1412">
        <v>2051</v>
      </c>
      <c r="S101" s="585"/>
      <c r="U101" s="299"/>
    </row>
    <row r="102" spans="2:21" ht="13.15" customHeight="1" thickBot="1" x14ac:dyDescent="0.35">
      <c r="B102" s="2068"/>
      <c r="C102" s="1729" t="str">
        <f>C99</f>
        <v>CÚ</v>
      </c>
      <c r="D102" s="2149">
        <f>D99</f>
        <v>2025</v>
      </c>
      <c r="E102" s="2150"/>
      <c r="F102" s="2150"/>
      <c r="G102" s="2150"/>
      <c r="H102" s="2150"/>
      <c r="I102" s="2150"/>
      <c r="J102" s="2150"/>
      <c r="K102" s="2150"/>
      <c r="L102" s="2150"/>
      <c r="M102" s="2150"/>
      <c r="N102" s="2150"/>
      <c r="O102" s="2150"/>
      <c r="P102" s="2150"/>
      <c r="Q102" s="2150"/>
      <c r="R102" s="2151"/>
      <c r="S102" s="585"/>
      <c r="U102" s="299"/>
    </row>
    <row r="103" spans="2:21" ht="13.15" customHeight="1" thickBot="1" x14ac:dyDescent="0.35">
      <c r="B103" s="2068"/>
      <c r="C103" s="1732" t="str">
        <f>C100</f>
        <v>CZK/t</v>
      </c>
      <c r="D103" s="1413">
        <f t="shared" ref="D103:R103" si="58">D97*$E$71</f>
        <v>18531.852888809848</v>
      </c>
      <c r="E103" s="1414">
        <f t="shared" si="58"/>
        <v>19659.005723957849</v>
      </c>
      <c r="F103" s="1414">
        <f t="shared" si="58"/>
        <v>20786.15855910585</v>
      </c>
      <c r="G103" s="1414">
        <f t="shared" si="58"/>
        <v>21911.79027031978</v>
      </c>
      <c r="H103" s="1415">
        <f t="shared" si="58"/>
        <v>23038.943105467781</v>
      </c>
      <c r="I103" s="1415">
        <f t="shared" si="58"/>
        <v>24166.095940615782</v>
      </c>
      <c r="J103" s="1414">
        <f t="shared" si="58"/>
        <v>25293.248775763783</v>
      </c>
      <c r="K103" s="1416">
        <f t="shared" si="58"/>
        <v>26420.401610911784</v>
      </c>
      <c r="L103" s="1416">
        <f t="shared" si="58"/>
        <v>27547.554446059785</v>
      </c>
      <c r="M103" s="1416">
        <f t="shared" si="58"/>
        <v>28715.777627427753</v>
      </c>
      <c r="N103" s="1416">
        <f t="shared" si="58"/>
        <v>29884.000808795721</v>
      </c>
      <c r="O103" s="1416">
        <f t="shared" si="58"/>
        <v>31052.223990163689</v>
      </c>
      <c r="P103" s="1416">
        <f t="shared" si="58"/>
        <v>32221.968295465733</v>
      </c>
      <c r="Q103" s="1416">
        <f t="shared" si="58"/>
        <v>33390.191476833701</v>
      </c>
      <c r="R103" s="1417">
        <f t="shared" si="58"/>
        <v>33390.191476833701</v>
      </c>
      <c r="S103" s="585"/>
      <c r="U103" s="299"/>
    </row>
    <row r="104" spans="2:21" ht="13.15" customHeight="1" x14ac:dyDescent="0.3">
      <c r="B104" s="1720"/>
      <c r="C104" s="1735" t="str">
        <f>C98</f>
        <v>rok</v>
      </c>
      <c r="D104" s="1723">
        <f>E2</f>
        <v>2026</v>
      </c>
      <c r="E104" s="1724">
        <f>D104+1</f>
        <v>2027</v>
      </c>
      <c r="F104" s="1724">
        <f t="shared" ref="F104:R104" si="59">E104+1</f>
        <v>2028</v>
      </c>
      <c r="G104" s="1724">
        <f t="shared" si="59"/>
        <v>2029</v>
      </c>
      <c r="H104" s="1724">
        <f t="shared" si="59"/>
        <v>2030</v>
      </c>
      <c r="I104" s="1724">
        <f t="shared" si="59"/>
        <v>2031</v>
      </c>
      <c r="J104" s="1724">
        <f t="shared" si="59"/>
        <v>2032</v>
      </c>
      <c r="K104" s="1724">
        <f t="shared" si="59"/>
        <v>2033</v>
      </c>
      <c r="L104" s="1724">
        <f t="shared" si="59"/>
        <v>2034</v>
      </c>
      <c r="M104" s="1724">
        <f t="shared" si="59"/>
        <v>2035</v>
      </c>
      <c r="N104" s="1724">
        <f t="shared" si="59"/>
        <v>2036</v>
      </c>
      <c r="O104" s="1724">
        <f t="shared" si="59"/>
        <v>2037</v>
      </c>
      <c r="P104" s="1724">
        <f t="shared" si="59"/>
        <v>2038</v>
      </c>
      <c r="Q104" s="1724">
        <f t="shared" si="59"/>
        <v>2039</v>
      </c>
      <c r="R104" s="1725">
        <f t="shared" si="59"/>
        <v>2040</v>
      </c>
      <c r="S104" s="585"/>
      <c r="U104" s="299"/>
    </row>
    <row r="105" spans="2:21" ht="13.15" customHeight="1" x14ac:dyDescent="0.3">
      <c r="B105" s="1720"/>
      <c r="C105" s="1736" t="str">
        <f>C99</f>
        <v>CÚ</v>
      </c>
      <c r="D105" s="2178">
        <f>D99</f>
        <v>2025</v>
      </c>
      <c r="E105" s="2179"/>
      <c r="F105" s="2179"/>
      <c r="G105" s="2179"/>
      <c r="H105" s="2179"/>
      <c r="I105" s="2179"/>
      <c r="J105" s="2179"/>
      <c r="K105" s="2179"/>
      <c r="L105" s="2179"/>
      <c r="M105" s="2179"/>
      <c r="N105" s="2179"/>
      <c r="O105" s="2179"/>
      <c r="P105" s="2179"/>
      <c r="Q105" s="2179"/>
      <c r="R105" s="2180"/>
      <c r="S105" s="585"/>
      <c r="U105" s="299"/>
    </row>
    <row r="106" spans="2:21" ht="13.15" customHeight="1" thickBot="1" x14ac:dyDescent="0.35">
      <c r="B106" s="1720"/>
      <c r="C106" s="1737" t="s">
        <v>41</v>
      </c>
      <c r="D106" s="1726">
        <f>IFERROR(HLOOKUP(D104,'0 Úvod'!$D$90:$AT$98,9,FALSE),1)</f>
        <v>7596.4929267599427</v>
      </c>
      <c r="E106" s="1726">
        <f>IFERROR(HLOOKUP(E104,'0 Úvod'!$D$90:$AT$98,9,FALSE),1)</f>
        <v>8305.3366800379026</v>
      </c>
      <c r="F106" s="1726">
        <f>IFERROR(HLOOKUP(F104,'0 Úvod'!$D$90:$AT$98,9,FALSE),1)</f>
        <v>9015.7015572499349</v>
      </c>
      <c r="G106" s="1726">
        <f>IFERROR(HLOOKUP(G104,'0 Úvod'!$D$90:$AT$98,9,FALSE),1)</f>
        <v>9724.5453105278957</v>
      </c>
      <c r="H106" s="1726">
        <f>IFERROR(HLOOKUP(H104,'0 Úvod'!$D$90:$AT$98,9,FALSE),1)</f>
        <v>10434.91018773993</v>
      </c>
      <c r="I106" s="1726">
        <f>IFERROR(HLOOKUP(I104,'0 Úvod'!$D$90:$AT$98,9,FALSE),1)</f>
        <v>11603.133369107898</v>
      </c>
      <c r="J106" s="1726">
        <f>IFERROR(HLOOKUP(J104,'0 Úvod'!$D$90:$AT$98,9,FALSE),1)</f>
        <v>12771.356550475866</v>
      </c>
      <c r="K106" s="1726">
        <f>IFERROR(HLOOKUP(K104,'0 Úvod'!$D$90:$AT$98,9,FALSE),1)</f>
        <v>13941.100855777908</v>
      </c>
      <c r="L106" s="1726">
        <f>IFERROR(HLOOKUP(L104,'0 Úvod'!$D$90:$AT$98,9,FALSE),1)</f>
        <v>15109.324037145876</v>
      </c>
      <c r="M106" s="1726">
        <f>IFERROR(HLOOKUP(M104,'0 Úvod'!$D$90:$AT$98,9,FALSE),1)</f>
        <v>16277.547218513846</v>
      </c>
      <c r="N106" s="1726">
        <f>IFERROR(HLOOKUP(N104,'0 Úvod'!$D$90:$AT$98,9,FALSE),1)</f>
        <v>17404.700053661847</v>
      </c>
      <c r="O106" s="1726">
        <f>IFERROR(HLOOKUP(O104,'0 Úvod'!$D$90:$AT$98,9,FALSE),1)</f>
        <v>18531.852888809848</v>
      </c>
      <c r="P106" s="1726">
        <f>IFERROR(HLOOKUP(P104,'0 Úvod'!$D$90:$AT$98,9,FALSE),1)</f>
        <v>19659.005723957849</v>
      </c>
      <c r="Q106" s="1726">
        <f>IFERROR(HLOOKUP(Q104,'0 Úvod'!$D$90:$AT$98,9,FALSE),1)</f>
        <v>20786.15855910585</v>
      </c>
      <c r="R106" s="1726">
        <f>IFERROR(HLOOKUP(R104,'0 Úvod'!$D$90:$AT$98,9,FALSE),1)</f>
        <v>21911.79027031978</v>
      </c>
      <c r="S106" s="585"/>
      <c r="U106" s="299"/>
    </row>
    <row r="107" spans="2:21" ht="13.15" customHeight="1" x14ac:dyDescent="0.3">
      <c r="B107" s="1720"/>
      <c r="C107" s="1735" t="str">
        <f>C104</f>
        <v>rok</v>
      </c>
      <c r="D107" s="1723">
        <f>R104+1</f>
        <v>2041</v>
      </c>
      <c r="E107" s="1724">
        <f>D107+1</f>
        <v>2042</v>
      </c>
      <c r="F107" s="1724">
        <f t="shared" ref="F107:R107" si="60">E107+1</f>
        <v>2043</v>
      </c>
      <c r="G107" s="1724">
        <f t="shared" si="60"/>
        <v>2044</v>
      </c>
      <c r="H107" s="1724">
        <f t="shared" si="60"/>
        <v>2045</v>
      </c>
      <c r="I107" s="1724">
        <f t="shared" si="60"/>
        <v>2046</v>
      </c>
      <c r="J107" s="1724">
        <f t="shared" si="60"/>
        <v>2047</v>
      </c>
      <c r="K107" s="1724">
        <f t="shared" si="60"/>
        <v>2048</v>
      </c>
      <c r="L107" s="1724">
        <f t="shared" si="60"/>
        <v>2049</v>
      </c>
      <c r="M107" s="1724">
        <f t="shared" si="60"/>
        <v>2050</v>
      </c>
      <c r="N107" s="1724">
        <f t="shared" si="60"/>
        <v>2051</v>
      </c>
      <c r="O107" s="1724">
        <f t="shared" si="60"/>
        <v>2052</v>
      </c>
      <c r="P107" s="1724">
        <f t="shared" si="60"/>
        <v>2053</v>
      </c>
      <c r="Q107" s="1724">
        <f t="shared" si="60"/>
        <v>2054</v>
      </c>
      <c r="R107" s="1725">
        <f t="shared" si="60"/>
        <v>2055</v>
      </c>
      <c r="S107" s="585"/>
      <c r="U107" s="299"/>
    </row>
    <row r="108" spans="2:21" ht="13.15" customHeight="1" x14ac:dyDescent="0.3">
      <c r="B108" s="1720"/>
      <c r="C108" s="1736" t="str">
        <f>C105</f>
        <v>CÚ</v>
      </c>
      <c r="D108" s="2178">
        <f>D105</f>
        <v>2025</v>
      </c>
      <c r="E108" s="2179"/>
      <c r="F108" s="2179"/>
      <c r="G108" s="2179"/>
      <c r="H108" s="2179"/>
      <c r="I108" s="2179"/>
      <c r="J108" s="2179"/>
      <c r="K108" s="2179"/>
      <c r="L108" s="2179"/>
      <c r="M108" s="2179"/>
      <c r="N108" s="2179"/>
      <c r="O108" s="2179"/>
      <c r="P108" s="2179"/>
      <c r="Q108" s="2179"/>
      <c r="R108" s="2180"/>
      <c r="S108" s="585"/>
      <c r="U108" s="299"/>
    </row>
    <row r="109" spans="2:21" ht="13.15" customHeight="1" thickBot="1" x14ac:dyDescent="0.35">
      <c r="B109" s="1721"/>
      <c r="C109" s="1737" t="str">
        <f>C106</f>
        <v>CZK/t</v>
      </c>
      <c r="D109" s="1726">
        <f>IFERROR(HLOOKUP(D107,'0 Úvod'!$D$90:$AT$98,9,FALSE),1)</f>
        <v>23038.943105467781</v>
      </c>
      <c r="E109" s="1726">
        <f>IFERROR(HLOOKUP(E107,'0 Úvod'!$D$90:$AT$98,9,FALSE),1)</f>
        <v>24166.095940615782</v>
      </c>
      <c r="F109" s="1726">
        <f>IFERROR(HLOOKUP(F107,'0 Úvod'!$D$90:$AT$98,9,FALSE),1)</f>
        <v>25293.248775763783</v>
      </c>
      <c r="G109" s="1726">
        <f>IFERROR(HLOOKUP(G107,'0 Úvod'!$D$90:$AT$98,9,FALSE),1)</f>
        <v>26420.401610911784</v>
      </c>
      <c r="H109" s="1726">
        <f>IFERROR(HLOOKUP(H107,'0 Úvod'!$D$90:$AT$98,9,FALSE),1)</f>
        <v>27547.554446059785</v>
      </c>
      <c r="I109" s="1726">
        <f>IFERROR(HLOOKUP(I107,'0 Úvod'!$D$90:$AT$98,9,FALSE),1)</f>
        <v>28715.777627427753</v>
      </c>
      <c r="J109" s="1726">
        <f>IFERROR(HLOOKUP(J107,'0 Úvod'!$D$90:$AT$98,9,FALSE),1)</f>
        <v>29884.000808795721</v>
      </c>
      <c r="K109" s="1726">
        <f>IFERROR(HLOOKUP(K107,'0 Úvod'!$D$90:$AT$98,9,FALSE),1)</f>
        <v>31052.223990163689</v>
      </c>
      <c r="L109" s="1726">
        <f>IFERROR(HLOOKUP(L107,'0 Úvod'!$D$90:$AT$98,9,FALSE),1)</f>
        <v>32221.968295465733</v>
      </c>
      <c r="M109" s="1726">
        <f>IFERROR(HLOOKUP(M107,'0 Úvod'!$D$90:$AT$98,9,FALSE),1)</f>
        <v>33390.191476833701</v>
      </c>
      <c r="N109" s="1726">
        <f>IFERROR(HLOOKUP(N107,'0 Úvod'!$D$90:$AT$98,9,FALSE),1)</f>
        <v>33390.191476833701</v>
      </c>
      <c r="O109" s="1726">
        <f>IFERROR(HLOOKUP(O107,'0 Úvod'!$D$90:$AT$98,9,FALSE),1)</f>
        <v>33390.191476833701</v>
      </c>
      <c r="P109" s="1726">
        <f>IFERROR(HLOOKUP(P107,'0 Úvod'!$D$90:$AT$98,9,FALSE),1)</f>
        <v>33390.191476833701</v>
      </c>
      <c r="Q109" s="1726">
        <f>IFERROR(HLOOKUP(Q107,'0 Úvod'!$D$90:$AT$98,9,FALSE),1)</f>
        <v>33390.191476833701</v>
      </c>
      <c r="R109" s="1726">
        <f>IFERROR(HLOOKUP(R107,'0 Úvod'!$D$90:$AT$98,9,FALSE),1)</f>
        <v>33390.191476833701</v>
      </c>
      <c r="S109" s="585"/>
      <c r="U109" s="299"/>
    </row>
    <row r="110" spans="2:21" ht="13.15" customHeight="1" x14ac:dyDescent="0.3">
      <c r="B110" s="1387"/>
      <c r="C110" s="1405" t="str">
        <f>IF('0 Úvod'!$M$10="English",Slovnik!$E$333,Slovnik!$E$332)</f>
        <v>Zdroj: Technické pokyny k prověřování infrastruktury z hlediska klimatického dopadu v období 2021 – 2027 (2021/C 373/01), 09/2021</v>
      </c>
      <c r="D110" s="1240"/>
      <c r="E110" s="1240"/>
      <c r="F110" s="1240"/>
      <c r="G110" s="1240"/>
      <c r="H110" s="1386"/>
      <c r="I110" s="1386"/>
      <c r="J110" s="1386"/>
      <c r="K110" s="585"/>
      <c r="L110" s="585"/>
      <c r="M110" s="585"/>
      <c r="N110" s="585"/>
      <c r="O110" s="585"/>
      <c r="P110" s="585"/>
      <c r="Q110" s="585"/>
      <c r="R110" s="585"/>
      <c r="S110" s="585"/>
      <c r="U110" s="299"/>
    </row>
    <row r="111" spans="2:21" ht="13.15" customHeight="1" x14ac:dyDescent="0.3">
      <c r="B111" s="1387"/>
      <c r="C111" s="1422" t="str">
        <f>IF('0 Úvod'!$M$10="English",Slovnik!$E$335,Slovnik!$E$334)</f>
        <v>Pozn: Platí pro výpočty od roku 2022 vč., již zahrnuje navyšování v letech a neaplikuje se indexace hodnotami z tabulky 6.19. a, resp. 6.19. b! Je však nutné provést převod na správnou CÚ s využitím obecné inflace.</v>
      </c>
      <c r="D111" s="1240"/>
      <c r="E111" s="1240"/>
      <c r="F111" s="1240"/>
      <c r="G111" s="1240"/>
      <c r="H111" s="1386"/>
      <c r="I111" s="1386"/>
      <c r="J111" s="1386"/>
      <c r="K111" s="585"/>
      <c r="L111" s="585"/>
      <c r="M111" s="585"/>
      <c r="N111" s="585"/>
      <c r="O111" s="585"/>
      <c r="P111" s="585"/>
      <c r="Q111" s="585"/>
      <c r="R111" s="585"/>
      <c r="S111" s="585"/>
      <c r="U111" s="299"/>
    </row>
    <row r="112" spans="2:21" ht="13.15" customHeight="1" thickBot="1" x14ac:dyDescent="0.35">
      <c r="B112" s="1387"/>
      <c r="C112" s="1240"/>
      <c r="D112" s="1240"/>
      <c r="E112" s="1240"/>
      <c r="F112" s="1240"/>
      <c r="G112" s="1240"/>
      <c r="H112" s="1386"/>
      <c r="I112" s="1386"/>
      <c r="J112" s="1386" t="s">
        <v>2</v>
      </c>
      <c r="K112" s="585"/>
      <c r="L112" s="585"/>
      <c r="M112" s="585"/>
      <c r="N112" s="585"/>
      <c r="O112" s="585"/>
      <c r="P112" s="585"/>
      <c r="Q112" s="585"/>
      <c r="R112" s="585"/>
      <c r="S112" s="585"/>
      <c r="U112" s="299"/>
    </row>
    <row r="113" spans="2:21" ht="15" customHeight="1" thickBot="1" x14ac:dyDescent="0.35">
      <c r="B113" s="2067" t="s">
        <v>1513</v>
      </c>
      <c r="C113" s="2106" t="str">
        <f>IF('0 Úvod'!$M$10="English",Slovnik!$D$338,Slovnik!$C$336)</f>
        <v>EMISNÍ FAKTORY sledovaných polutantů nákladní dopravy</v>
      </c>
      <c r="D113" s="2107"/>
      <c r="E113" s="2107"/>
      <c r="F113" s="2107"/>
      <c r="G113" s="2107"/>
      <c r="H113" s="2107"/>
      <c r="I113" s="2108"/>
      <c r="J113" s="585"/>
      <c r="K113" s="584" t="s">
        <v>1569</v>
      </c>
      <c r="L113" s="585"/>
      <c r="M113" s="585"/>
      <c r="N113" s="585"/>
      <c r="O113" s="585"/>
      <c r="P113" s="585"/>
      <c r="Q113" s="585"/>
      <c r="R113" s="585"/>
      <c r="S113" s="585"/>
      <c r="U113" s="299"/>
    </row>
    <row r="114" spans="2:21" ht="13.15" customHeight="1" thickBot="1" x14ac:dyDescent="0.35">
      <c r="B114" s="2068"/>
      <c r="C114" s="2143" t="str">
        <f>IF('0 Úvod'!$M$10="English",Slovnik!$D$337,Slovnik!$C$337)</f>
        <v>emisní faktor - OSOBNÍ DOPRAVA</v>
      </c>
      <c r="D114" s="2144"/>
      <c r="E114" s="2144"/>
      <c r="F114" s="2144"/>
      <c r="G114" s="2144"/>
      <c r="H114" s="2144"/>
      <c r="I114" s="2145"/>
      <c r="J114" s="1423"/>
      <c r="K114" s="585" t="s">
        <v>1399</v>
      </c>
      <c r="L114" s="585"/>
      <c r="M114" s="1423"/>
      <c r="N114" s="585"/>
      <c r="O114" s="1423"/>
      <c r="P114" s="585"/>
      <c r="Q114" s="585"/>
      <c r="R114" s="585"/>
      <c r="S114" s="585"/>
      <c r="U114" s="299"/>
    </row>
    <row r="115" spans="2:21" ht="14.25" customHeight="1" thickBot="1" x14ac:dyDescent="0.35">
      <c r="B115" s="2068"/>
      <c r="C115" s="1424" t="str">
        <f>IF('0 Úvod'!$M$10="English",Slovnik!$D$338,Slovnik!$C$338)</f>
        <v>dopravní mód, jednotka</v>
      </c>
      <c r="D115" s="1425" t="str">
        <f>IF('0 Úvod'!$M$10="English",Slovnik!D341,Slovnik!C341)</f>
        <v>polutant</v>
      </c>
      <c r="E115" s="1410" t="s">
        <v>42</v>
      </c>
      <c r="F115" s="1411" t="s">
        <v>36</v>
      </c>
      <c r="G115" s="1411" t="s">
        <v>37</v>
      </c>
      <c r="H115" s="1411" t="s">
        <v>39</v>
      </c>
      <c r="I115" s="1412" t="s">
        <v>40</v>
      </c>
      <c r="J115" s="1423"/>
      <c r="K115" s="1431" t="s">
        <v>1400</v>
      </c>
      <c r="L115" s="585"/>
      <c r="M115" s="1423"/>
      <c r="N115" s="585"/>
      <c r="O115" s="1423"/>
      <c r="P115" s="585"/>
      <c r="Q115" s="585"/>
      <c r="R115" s="585"/>
      <c r="S115" s="585"/>
      <c r="U115" s="299"/>
    </row>
    <row r="116" spans="2:21" ht="13.15" customHeight="1" x14ac:dyDescent="0.3">
      <c r="B116" s="2068"/>
      <c r="C116" s="2083" t="str">
        <f>IF('0 Úvod'!$M$10="English",Slovnik!$D$339,Slovnik!$C$339)</f>
        <v>SILNIČNÍ DOPRAVA
[g/vozokm]</v>
      </c>
      <c r="D116" s="1427" t="str">
        <f>IF('0 Úvod'!$M$10="English",Slovnik!D767,Slovnik!C767)</f>
        <v>IAD - průměr</v>
      </c>
      <c r="E116" s="1428">
        <v>180</v>
      </c>
      <c r="F116" s="1429">
        <v>0.51200000000000001</v>
      </c>
      <c r="G116" s="1429">
        <v>6.0000000000000001E-3</v>
      </c>
      <c r="H116" s="1429">
        <v>2.9000000000000001E-2</v>
      </c>
      <c r="I116" s="1430">
        <v>5.0999999999999997E-2</v>
      </c>
      <c r="J116" s="585"/>
      <c r="K116" s="585" t="s">
        <v>1401</v>
      </c>
      <c r="L116" s="585"/>
      <c r="M116" s="585"/>
      <c r="N116" s="585"/>
      <c r="O116" s="585"/>
      <c r="P116" s="585"/>
      <c r="Q116" s="585"/>
      <c r="R116" s="585"/>
      <c r="S116" s="585"/>
      <c r="U116" s="299"/>
    </row>
    <row r="117" spans="2:21" ht="13.15" customHeight="1" x14ac:dyDescent="0.3">
      <c r="B117" s="2068"/>
      <c r="C117" s="2083"/>
      <c r="D117" s="1427" t="str">
        <f>IF('0 Úvod'!$M$10="English",Slovnik!D768,Slovnik!C768)</f>
        <v>IAD - město</v>
      </c>
      <c r="E117" s="1428">
        <v>240</v>
      </c>
      <c r="F117" s="1429">
        <v>0.68300000000000005</v>
      </c>
      <c r="G117" s="1429">
        <v>7.0000000000000001E-3</v>
      </c>
      <c r="H117" s="1429">
        <v>3.9E-2</v>
      </c>
      <c r="I117" s="1430">
        <v>6.8000000000000005E-2</v>
      </c>
      <c r="J117" s="585"/>
      <c r="K117" s="585" t="s">
        <v>1402</v>
      </c>
      <c r="L117" s="585"/>
      <c r="M117" s="585"/>
      <c r="N117" s="585"/>
      <c r="O117" s="585"/>
      <c r="P117" s="585"/>
      <c r="Q117" s="585"/>
      <c r="R117" s="585"/>
      <c r="S117" s="585"/>
      <c r="U117" s="299"/>
    </row>
    <row r="118" spans="2:21" ht="13.15" customHeight="1" x14ac:dyDescent="0.3">
      <c r="B118" s="2068"/>
      <c r="C118" s="2083"/>
      <c r="D118" s="1432" t="str">
        <f>IF('0 Úvod'!$M$10="English",Slovnik!D769,Slovnik!C769)</f>
        <v>BUS - dálkový</v>
      </c>
      <c r="E118" s="1428">
        <v>783</v>
      </c>
      <c r="F118" s="1429">
        <v>4.7789999999999999</v>
      </c>
      <c r="G118" s="1429">
        <v>5.0999999999999997E-2</v>
      </c>
      <c r="H118" s="1429">
        <v>9.8000000000000004E-2</v>
      </c>
      <c r="I118" s="1430">
        <v>0.94199999999999995</v>
      </c>
      <c r="J118" s="585"/>
      <c r="K118" s="585" t="s">
        <v>1403</v>
      </c>
      <c r="L118" s="585"/>
      <c r="M118" s="585"/>
      <c r="N118" s="585"/>
      <c r="O118" s="585"/>
      <c r="P118" s="585"/>
      <c r="Q118" s="585"/>
      <c r="R118" s="585"/>
      <c r="S118" s="585"/>
      <c r="U118" s="299"/>
    </row>
    <row r="119" spans="2:21" ht="15" thickBot="1" x14ac:dyDescent="0.35">
      <c r="B119" s="2068"/>
      <c r="C119" s="2088"/>
      <c r="D119" s="1433" t="str">
        <f>IF('0 Úvod'!$M$10="English",Slovnik!D770,Slovnik!C770)</f>
        <v>BUS - město</v>
      </c>
      <c r="E119" s="1434">
        <v>862</v>
      </c>
      <c r="F119" s="1435">
        <v>5.2610000000000001</v>
      </c>
      <c r="G119" s="1435">
        <v>5.7000000000000002E-2</v>
      </c>
      <c r="H119" s="1435">
        <v>0.108</v>
      </c>
      <c r="I119" s="1436">
        <v>1.038</v>
      </c>
      <c r="J119" s="585"/>
      <c r="K119" s="585"/>
      <c r="L119" s="585"/>
      <c r="M119" s="585"/>
      <c r="N119" s="585"/>
      <c r="O119" s="585"/>
      <c r="P119" s="585"/>
      <c r="Q119" s="585"/>
      <c r="R119" s="585"/>
      <c r="S119" s="585"/>
      <c r="U119" s="299"/>
    </row>
    <row r="120" spans="2:21" ht="13.15" customHeight="1" x14ac:dyDescent="0.3">
      <c r="B120" s="2068"/>
      <c r="C120" s="2082" t="str">
        <f>IF('0 Úvod'!$M$10="English",Slovnik!$D$340,Slovnik!$C$340)</f>
        <v>ŽELEZNIČNÍ DOPRAVA
[g/vlkm]</v>
      </c>
      <c r="D120" s="1437" t="str">
        <f>IF('0 Úvod'!$M$10="English",Slovnik!D771,Slovnik!C771)</f>
        <v>DIESEL regionální</v>
      </c>
      <c r="E120" s="1438">
        <v>1848</v>
      </c>
      <c r="F120" s="1439">
        <v>0.20599999999999999</v>
      </c>
      <c r="G120" s="1439">
        <v>2E-3</v>
      </c>
      <c r="H120" s="1439">
        <v>0.33700000000000002</v>
      </c>
      <c r="I120" s="1440">
        <v>1.9870000000000001</v>
      </c>
      <c r="J120" s="585"/>
      <c r="K120" s="585" t="s">
        <v>1405</v>
      </c>
      <c r="L120" s="585"/>
      <c r="M120" s="585"/>
      <c r="N120" s="585"/>
      <c r="O120" s="585"/>
      <c r="P120" s="585"/>
      <c r="Q120" s="585"/>
      <c r="R120" s="585"/>
      <c r="S120" s="585"/>
      <c r="U120" s="299"/>
    </row>
    <row r="121" spans="2:21" ht="13.15" customHeight="1" x14ac:dyDescent="0.3">
      <c r="B121" s="2068"/>
      <c r="C121" s="2083"/>
      <c r="D121" s="1432" t="str">
        <f>IF('0 Úvod'!$M$10="English",Slovnik!D772,Slovnik!C772)</f>
        <v>DIESEL dálková</v>
      </c>
      <c r="E121" s="1428">
        <v>9765</v>
      </c>
      <c r="F121" s="1429">
        <v>1.089</v>
      </c>
      <c r="G121" s="1429">
        <v>8.9999999999999993E-3</v>
      </c>
      <c r="H121" s="1429">
        <v>1.7809999999999999</v>
      </c>
      <c r="I121" s="1430">
        <v>10.5</v>
      </c>
      <c r="J121" s="585"/>
      <c r="K121" s="585" t="s">
        <v>1404</v>
      </c>
      <c r="L121" s="585"/>
      <c r="M121" s="585"/>
      <c r="N121" s="585"/>
      <c r="O121" s="585"/>
      <c r="P121" s="585"/>
      <c r="Q121" s="585"/>
      <c r="R121" s="585"/>
      <c r="S121" s="585"/>
      <c r="U121" s="299"/>
    </row>
    <row r="122" spans="2:21" ht="13.15" customHeight="1" x14ac:dyDescent="0.3">
      <c r="B122" s="2068"/>
      <c r="C122" s="2083"/>
      <c r="D122" s="1432" t="str">
        <f>IF('0 Úvod'!$M$10="English",Slovnik!D773,Slovnik!C773)</f>
        <v>ELEKTRICKÁ regionální</v>
      </c>
      <c r="E122" s="1428">
        <v>2766</v>
      </c>
      <c r="F122" s="1429">
        <v>1.7000000000000001E-2</v>
      </c>
      <c r="G122" s="1429">
        <v>0</v>
      </c>
      <c r="H122" s="1429">
        <v>3.2000000000000001E-2</v>
      </c>
      <c r="I122" s="1430">
        <v>0.188</v>
      </c>
      <c r="J122" s="585"/>
      <c r="K122" s="585" t="s">
        <v>1406</v>
      </c>
      <c r="L122" s="585"/>
      <c r="M122" s="585"/>
      <c r="N122" s="585"/>
      <c r="O122" s="585"/>
      <c r="P122" s="585"/>
      <c r="Q122" s="585"/>
      <c r="R122" s="585"/>
      <c r="S122" s="585"/>
      <c r="U122" s="299"/>
    </row>
    <row r="123" spans="2:21" ht="13.15" customHeight="1" thickBot="1" x14ac:dyDescent="0.35">
      <c r="B123" s="2068"/>
      <c r="C123" s="2083"/>
      <c r="D123" s="1441" t="str">
        <f>IF('0 Úvod'!$M$10="English",Slovnik!D774,Slovnik!C774)</f>
        <v>ELEKTRICKÁ dálková</v>
      </c>
      <c r="E123" s="1442">
        <v>6915</v>
      </c>
      <c r="F123" s="1443">
        <v>4.2999999999999997E-2</v>
      </c>
      <c r="G123" s="1443">
        <v>0</v>
      </c>
      <c r="H123" s="1443">
        <v>0.08</v>
      </c>
      <c r="I123" s="1444">
        <v>0.46899999999999997</v>
      </c>
      <c r="J123" s="585"/>
      <c r="K123" s="585"/>
      <c r="L123" s="585"/>
      <c r="M123" s="585"/>
      <c r="N123" s="585"/>
      <c r="O123" s="585"/>
      <c r="P123" s="585"/>
      <c r="Q123" s="585"/>
      <c r="R123" s="585"/>
      <c r="S123" s="585"/>
      <c r="U123" s="299"/>
    </row>
    <row r="124" spans="2:21" ht="13.15" customHeight="1" x14ac:dyDescent="0.3">
      <c r="B124" s="2068"/>
      <c r="C124" s="2082" t="str">
        <f>IF('0 Úvod'!$M$10="English",Slovnik!$D$775,Slovnik!$C$775)</f>
        <v>LETECKÁ DOPRAVA [g/letkm]</v>
      </c>
      <c r="D124" s="1437" t="str">
        <f>IF('0 Úvod'!$M$10="English",Slovnik!D776,Slovnik!C776)</f>
        <v>vnitrostátní</v>
      </c>
      <c r="E124" s="1438">
        <v>6612</v>
      </c>
      <c r="F124" s="1439">
        <v>2.1070000000000002</v>
      </c>
      <c r="G124" s="1439">
        <v>1.7000000000000001E-2</v>
      </c>
      <c r="H124" s="1439">
        <v>0.246</v>
      </c>
      <c r="I124" s="1440">
        <v>0</v>
      </c>
      <c r="J124" s="585"/>
      <c r="K124" s="585" t="s">
        <v>1534</v>
      </c>
      <c r="L124" s="585"/>
      <c r="M124" s="585"/>
      <c r="N124" s="585"/>
      <c r="O124" s="585"/>
      <c r="P124" s="585"/>
      <c r="Q124" s="585"/>
      <c r="R124" s="585"/>
      <c r="S124" s="585"/>
      <c r="U124" s="299"/>
    </row>
    <row r="125" spans="2:21" ht="15" thickBot="1" x14ac:dyDescent="0.35">
      <c r="B125" s="2068"/>
      <c r="C125" s="2088"/>
      <c r="D125" s="1433" t="str">
        <f>IF('0 Úvod'!$M$10="English",Slovnik!D777,Slovnik!C777)</f>
        <v>mezistátní</v>
      </c>
      <c r="E125" s="1434">
        <v>23251.118999999999</v>
      </c>
      <c r="F125" s="1435">
        <v>7.41</v>
      </c>
      <c r="G125" s="1435">
        <v>5.8999999999999997E-2</v>
      </c>
      <c r="H125" s="1435">
        <v>0.86499999999999999</v>
      </c>
      <c r="I125" s="1436">
        <v>0</v>
      </c>
      <c r="J125" s="585"/>
      <c r="K125" s="1431" t="s">
        <v>1535</v>
      </c>
      <c r="L125" s="585"/>
      <c r="M125" s="585"/>
      <c r="N125" s="585"/>
      <c r="O125" s="585"/>
      <c r="P125" s="585"/>
      <c r="Q125" s="585"/>
      <c r="R125" s="585"/>
      <c r="S125" s="585"/>
      <c r="U125" s="299"/>
    </row>
    <row r="126" spans="2:21" ht="13.15" customHeight="1" thickBot="1" x14ac:dyDescent="0.35">
      <c r="B126" s="2068"/>
      <c r="C126" s="2143" t="str">
        <f>IF('0 Úvod'!$M$10="English",Slovnik!$D$347,Slovnik!$C$347)</f>
        <v>emisní faktor - NÁKLADNÍ DOPRAVA</v>
      </c>
      <c r="D126" s="2144"/>
      <c r="E126" s="2144"/>
      <c r="F126" s="2144"/>
      <c r="G126" s="2144"/>
      <c r="H126" s="2144"/>
      <c r="I126" s="2145"/>
      <c r="J126" s="585"/>
      <c r="L126" s="585"/>
      <c r="M126" s="585"/>
      <c r="N126" s="585"/>
      <c r="O126" s="585"/>
      <c r="P126" s="585"/>
      <c r="Q126" s="585"/>
      <c r="R126" s="585"/>
      <c r="S126" s="585"/>
      <c r="U126" s="299"/>
    </row>
    <row r="127" spans="2:21" ht="13.15" customHeight="1" x14ac:dyDescent="0.3">
      <c r="B127" s="2068"/>
      <c r="C127" s="2082" t="str">
        <f>IF('0 Úvod'!$M$10="English",Slovnik!$D$339,Slovnik!$C$339)</f>
        <v>SILNIČNÍ DOPRAVA
[g/vozokm]</v>
      </c>
      <c r="D127" s="1437" t="str">
        <f>IF('0 Úvod'!$M$10="English",Slovnik!D348,Slovnik!C348)</f>
        <v>LNV</v>
      </c>
      <c r="E127" s="1438">
        <v>241</v>
      </c>
      <c r="F127" s="1439">
        <v>0.69399999999999995</v>
      </c>
      <c r="G127" s="1439">
        <v>2E-3</v>
      </c>
      <c r="H127" s="1439">
        <v>4.4999999999999998E-2</v>
      </c>
      <c r="I127" s="1440">
        <v>5.8999999999999997E-2</v>
      </c>
      <c r="J127" s="585"/>
      <c r="K127" s="585"/>
      <c r="L127" s="585"/>
      <c r="M127" s="585"/>
      <c r="N127" s="585"/>
      <c r="O127" s="585"/>
      <c r="P127" s="585"/>
      <c r="Q127" s="585"/>
      <c r="R127" s="585"/>
      <c r="S127" s="585"/>
      <c r="U127" s="299"/>
    </row>
    <row r="128" spans="2:21" ht="13.15" customHeight="1" thickBot="1" x14ac:dyDescent="0.35">
      <c r="B128" s="2068"/>
      <c r="C128" s="2088"/>
      <c r="D128" s="1433" t="str">
        <f>IF('0 Úvod'!$M$10="English",Slovnik!D349,Slovnik!C349)</f>
        <v>TNV</v>
      </c>
      <c r="E128" s="1434">
        <v>604</v>
      </c>
      <c r="F128" s="1435">
        <v>7.6260000000000003</v>
      </c>
      <c r="G128" s="1435">
        <v>2.7E-2</v>
      </c>
      <c r="H128" s="1435">
        <v>0.20200000000000001</v>
      </c>
      <c r="I128" s="1436">
        <v>0.111</v>
      </c>
      <c r="J128" s="585"/>
      <c r="K128" s="585"/>
      <c r="L128" s="585"/>
      <c r="M128" s="585"/>
      <c r="N128" s="585"/>
      <c r="O128" s="585"/>
      <c r="P128" s="585"/>
      <c r="Q128" s="585"/>
      <c r="R128" s="585"/>
      <c r="S128" s="585"/>
    </row>
    <row r="129" spans="2:19" ht="14.45" customHeight="1" x14ac:dyDescent="0.3">
      <c r="B129" s="2068"/>
      <c r="C129" s="2082" t="str">
        <f>IF('0 Úvod'!$M$10="English",Slovnik!$D$340,Slovnik!$C$340)</f>
        <v>ŽELEZNIČNÍ DOPRAVA
[g/vlkm]</v>
      </c>
      <c r="D129" s="1437" t="str">
        <f>IF('0 Úvod'!$M$10="English",Slovnik!D351,Slovnik!C351)</f>
        <v>dieslová trakce</v>
      </c>
      <c r="E129" s="1438">
        <v>11434</v>
      </c>
      <c r="F129" s="1439">
        <v>4.3529999999999998</v>
      </c>
      <c r="G129" s="1439">
        <v>3.5000000000000003E-2</v>
      </c>
      <c r="H129" s="1439">
        <v>6.9569999999999999</v>
      </c>
      <c r="I129" s="1440">
        <v>89.301000000000002</v>
      </c>
      <c r="J129" s="585"/>
      <c r="K129" s="585"/>
      <c r="L129" s="585"/>
      <c r="M129" s="585"/>
      <c r="N129" s="585"/>
      <c r="O129" s="585"/>
      <c r="P129" s="585"/>
      <c r="Q129" s="585"/>
      <c r="R129" s="585"/>
      <c r="S129" s="585"/>
    </row>
    <row r="130" spans="2:19" ht="13.15" customHeight="1" thickBot="1" x14ac:dyDescent="0.35">
      <c r="B130" s="2068"/>
      <c r="C130" s="2088"/>
      <c r="D130" s="1433" t="str">
        <f>IF('0 Úvod'!$M$10="English",Slovnik!D352,Slovnik!C352)</f>
        <v>elektrická trakce</v>
      </c>
      <c r="E130" s="1445">
        <v>7657.7219999999998</v>
      </c>
      <c r="F130" s="1446">
        <v>0.20399999999999999</v>
      </c>
      <c r="G130" s="1446">
        <v>2E-3</v>
      </c>
      <c r="H130" s="1446">
        <v>0.36599999999999999</v>
      </c>
      <c r="I130" s="1447">
        <v>4.7</v>
      </c>
      <c r="J130" s="585"/>
      <c r="K130" s="585"/>
      <c r="L130" s="585"/>
      <c r="M130" s="585"/>
      <c r="N130" s="585"/>
      <c r="O130" s="585"/>
      <c r="P130" s="585"/>
      <c r="Q130" s="585"/>
      <c r="R130" s="585"/>
      <c r="S130" s="585"/>
    </row>
    <row r="131" spans="2:19" ht="15" thickBot="1" x14ac:dyDescent="0.35">
      <c r="B131" s="2068"/>
      <c r="C131" s="2143" t="str">
        <f>IF('0 Úvod'!$M$10="English",Slovnik!$D$775,Slovnik!$C$775)</f>
        <v>LETECKÁ DOPRAVA [g/letkm]</v>
      </c>
      <c r="D131" s="2145"/>
      <c r="E131" s="1442">
        <v>32550</v>
      </c>
      <c r="F131" s="1443">
        <v>10.374000000000001</v>
      </c>
      <c r="G131" s="1443">
        <v>8.3000000000000004E-2</v>
      </c>
      <c r="H131" s="1443">
        <v>1.2110000000000001</v>
      </c>
      <c r="I131" s="1444">
        <v>0</v>
      </c>
      <c r="J131" s="585"/>
      <c r="K131" s="585"/>
      <c r="L131" s="585"/>
      <c r="M131" s="585"/>
      <c r="N131" s="585"/>
      <c r="O131" s="585"/>
      <c r="P131" s="585"/>
      <c r="Q131" s="585"/>
      <c r="R131" s="585"/>
      <c r="S131" s="585"/>
    </row>
    <row r="132" spans="2:19" ht="15" thickBot="1" x14ac:dyDescent="0.35">
      <c r="B132" s="2069"/>
      <c r="C132" s="2143" t="str">
        <f>IF('0 Úvod'!$M$10="English",Slovnik!$D$353,Slovnik!$C$353)</f>
        <v>VODNÍ DOPRAVA [g/vozokm]</v>
      </c>
      <c r="D132" s="2145"/>
      <c r="E132" s="1448">
        <v>23909.45</v>
      </c>
      <c r="F132" s="1449">
        <v>370.1</v>
      </c>
      <c r="G132" s="1449">
        <v>2.9460000000000002</v>
      </c>
      <c r="H132" s="1449">
        <v>10.7</v>
      </c>
      <c r="I132" s="1450">
        <v>0</v>
      </c>
      <c r="J132" s="585"/>
      <c r="K132" s="585"/>
      <c r="L132" s="585"/>
      <c r="M132" s="585"/>
      <c r="N132" s="585"/>
      <c r="O132" s="585"/>
      <c r="P132" s="585"/>
      <c r="Q132" s="585"/>
      <c r="R132" s="585"/>
      <c r="S132" s="585"/>
    </row>
    <row r="133" spans="2:19" ht="13.15" customHeight="1" x14ac:dyDescent="0.3">
      <c r="B133" s="1387"/>
      <c r="C133" s="1405" t="str">
        <f>IF('0 Úvod'!$M$10="English",Slovnik!$E$778,Slovnik!$E$777)</f>
        <v>Zdroj: EIB Project Carbon Footprint Methodologies, Methodologies for the Assessment of Project GHG Emissions and Emission Variations, European Investment Bank, ver.11.2 – 02/2022; Externí náklady dopravy v Evropě, CE Delft , aktualizace 11/2011; dopočet SUDOP</v>
      </c>
      <c r="D133" s="1240"/>
      <c r="E133" s="1240"/>
      <c r="F133" s="1240"/>
      <c r="G133" s="1240"/>
      <c r="H133" s="1386"/>
      <c r="I133" s="1386"/>
      <c r="J133" s="1386"/>
      <c r="K133" s="1386"/>
      <c r="L133" s="1386"/>
      <c r="M133" s="1386"/>
      <c r="N133" s="585"/>
      <c r="O133" s="585"/>
      <c r="P133" s="585"/>
      <c r="Q133" s="585"/>
      <c r="R133" s="585"/>
      <c r="S133" s="585"/>
    </row>
    <row r="134" spans="2:19" ht="13.15" customHeight="1" x14ac:dyDescent="0.3">
      <c r="B134" s="1387"/>
      <c r="C134" s="1451" t="str">
        <f>IF('0 Úvod'!$M$10="English",Slovnik!$E$776,Slovnik!$E$775)</f>
        <v>Pozn.: Pro podrobnější informace ke zdrojovým datům a práci s nimi viz Rezortní metodiku (aktuální dodatek) - poznámky pod tabulkami 8.60, resp. 8.61</v>
      </c>
      <c r="D134" s="1240"/>
      <c r="E134" s="1240"/>
      <c r="F134" s="1240"/>
      <c r="G134" s="1240"/>
      <c r="H134" s="1386"/>
      <c r="I134" s="1386"/>
      <c r="J134" s="1386"/>
      <c r="K134" s="1386"/>
      <c r="L134" s="1386"/>
      <c r="M134" s="1386"/>
      <c r="N134" s="585"/>
      <c r="O134" s="585"/>
      <c r="P134" s="585"/>
      <c r="Q134" s="585"/>
      <c r="R134" s="585"/>
      <c r="S134" s="585"/>
    </row>
    <row r="135" spans="2:19" ht="13.15" hidden="1" customHeight="1" x14ac:dyDescent="0.3">
      <c r="B135" s="1387"/>
      <c r="C135" s="1451"/>
      <c r="D135" s="1240"/>
      <c r="E135" s="1240"/>
      <c r="F135" s="1240"/>
      <c r="G135" s="1240"/>
      <c r="H135" s="1386"/>
      <c r="I135" s="1386"/>
      <c r="J135" s="1386"/>
      <c r="K135" s="1386"/>
      <c r="L135" s="1386"/>
      <c r="M135" s="1386"/>
      <c r="N135" s="585"/>
      <c r="O135" s="585"/>
      <c r="P135" s="585"/>
      <c r="Q135" s="585"/>
      <c r="R135" s="585"/>
      <c r="S135" s="585"/>
    </row>
    <row r="136" spans="2:19" ht="13.15" hidden="1" customHeight="1" thickBot="1" x14ac:dyDescent="0.35">
      <c r="B136" s="1387"/>
      <c r="C136" s="1451"/>
      <c r="D136" s="1240"/>
      <c r="E136" s="1240"/>
      <c r="F136" s="1240"/>
      <c r="G136" s="1240"/>
      <c r="H136" s="1386"/>
      <c r="I136" s="1386"/>
      <c r="J136" s="1386"/>
      <c r="K136" s="1386"/>
      <c r="L136" s="1386"/>
      <c r="M136" s="1386"/>
      <c r="N136" s="585"/>
      <c r="O136" s="585"/>
      <c r="P136" s="585"/>
      <c r="Q136" s="585"/>
      <c r="R136" s="585"/>
      <c r="S136" s="585"/>
    </row>
    <row r="137" spans="2:19" ht="46.5" hidden="1" customHeight="1" x14ac:dyDescent="0.3">
      <c r="B137" s="1452" t="s">
        <v>1487</v>
      </c>
      <c r="C137" s="1453" t="s">
        <v>1473</v>
      </c>
      <c r="D137" s="1454" t="s">
        <v>1468</v>
      </c>
      <c r="E137" s="1455" t="s">
        <v>1478</v>
      </c>
      <c r="F137" s="1456" t="s">
        <v>1479</v>
      </c>
      <c r="G137" s="1456" t="s">
        <v>1480</v>
      </c>
      <c r="H137" s="1456" t="s">
        <v>1481</v>
      </c>
      <c r="I137" s="1457" t="s">
        <v>1482</v>
      </c>
      <c r="J137" s="1386"/>
      <c r="K137" s="1386"/>
      <c r="L137" s="1386"/>
      <c r="M137" s="1386"/>
      <c r="N137" s="585"/>
      <c r="O137" s="585"/>
      <c r="P137" s="585"/>
      <c r="Q137" s="585"/>
      <c r="R137" s="585"/>
      <c r="S137" s="585"/>
    </row>
    <row r="138" spans="2:19" ht="13.15" hidden="1" customHeight="1" x14ac:dyDescent="0.3">
      <c r="B138" s="1458"/>
      <c r="C138" s="1459" t="s">
        <v>1466</v>
      </c>
      <c r="D138" s="1460"/>
      <c r="E138" s="1461">
        <f>E119</f>
        <v>862</v>
      </c>
      <c r="F138" s="1462">
        <f t="shared" ref="F138:I138" si="61">F119</f>
        <v>5.2610000000000001</v>
      </c>
      <c r="G138" s="1462">
        <f t="shared" si="61"/>
        <v>5.7000000000000002E-2</v>
      </c>
      <c r="H138" s="1462">
        <f t="shared" si="61"/>
        <v>0.108</v>
      </c>
      <c r="I138" s="1463">
        <f t="shared" si="61"/>
        <v>1.038</v>
      </c>
      <c r="J138" s="1386"/>
      <c r="K138" s="1386"/>
      <c r="L138" s="1386"/>
      <c r="M138" s="1386"/>
      <c r="N138" s="585"/>
      <c r="O138" s="585"/>
      <c r="P138" s="585"/>
      <c r="Q138" s="585"/>
      <c r="R138" s="585"/>
      <c r="S138" s="585"/>
    </row>
    <row r="139" spans="2:19" ht="13.15" hidden="1" customHeight="1" x14ac:dyDescent="0.3">
      <c r="B139" s="1458"/>
      <c r="C139" s="1459" t="s">
        <v>1467</v>
      </c>
      <c r="D139" s="1464">
        <v>1</v>
      </c>
      <c r="E139" s="1461">
        <f>$D139*E$143</f>
        <v>400</v>
      </c>
      <c r="F139" s="1462">
        <f t="shared" ref="F139:I141" si="62">$D139*F$143</f>
        <v>2.8333333333333335E-3</v>
      </c>
      <c r="G139" s="1462">
        <f t="shared" si="62"/>
        <v>0</v>
      </c>
      <c r="H139" s="1462">
        <f t="shared" si="62"/>
        <v>5.3333333333333332E-3</v>
      </c>
      <c r="I139" s="1463">
        <f t="shared" si="62"/>
        <v>3.1333333333333331E-2</v>
      </c>
      <c r="J139" s="1386"/>
      <c r="K139" s="1386"/>
      <c r="L139" s="1386"/>
      <c r="M139" s="1386"/>
      <c r="N139" s="585"/>
      <c r="O139" s="585"/>
      <c r="P139" s="585"/>
      <c r="Q139" s="585"/>
      <c r="R139" s="585"/>
      <c r="S139" s="585"/>
    </row>
    <row r="140" spans="2:19" ht="13.15" hidden="1" customHeight="1" x14ac:dyDescent="0.3">
      <c r="B140" s="1458"/>
      <c r="C140" s="1459" t="s">
        <v>1469</v>
      </c>
      <c r="D140" s="1465">
        <v>1</v>
      </c>
      <c r="E140" s="1461">
        <f t="shared" ref="E140:E141" si="63">$D140*E$143</f>
        <v>400</v>
      </c>
      <c r="F140" s="1462">
        <f t="shared" si="62"/>
        <v>2.8333333333333335E-3</v>
      </c>
      <c r="G140" s="1462">
        <f t="shared" si="62"/>
        <v>0</v>
      </c>
      <c r="H140" s="1462">
        <f t="shared" si="62"/>
        <v>5.3333333333333332E-3</v>
      </c>
      <c r="I140" s="1463">
        <f t="shared" si="62"/>
        <v>3.1333333333333331E-2</v>
      </c>
      <c r="J140" s="1386"/>
      <c r="K140" s="1386"/>
      <c r="L140" s="1386"/>
      <c r="M140" s="1386"/>
      <c r="N140" s="585"/>
      <c r="O140" s="585"/>
      <c r="P140" s="585"/>
      <c r="Q140" s="585"/>
      <c r="R140" s="585"/>
      <c r="S140" s="585"/>
    </row>
    <row r="141" spans="2:19" ht="13.15" hidden="1" customHeight="1" x14ac:dyDescent="0.3">
      <c r="B141" s="1458"/>
      <c r="C141" s="1459" t="s">
        <v>1470</v>
      </c>
      <c r="D141" s="1464">
        <v>1</v>
      </c>
      <c r="E141" s="1461">
        <f t="shared" si="63"/>
        <v>400</v>
      </c>
      <c r="F141" s="1462">
        <f t="shared" si="62"/>
        <v>2.8333333333333335E-3</v>
      </c>
      <c r="G141" s="1462">
        <f t="shared" si="62"/>
        <v>0</v>
      </c>
      <c r="H141" s="1462">
        <f t="shared" si="62"/>
        <v>5.3333333333333332E-3</v>
      </c>
      <c r="I141" s="1463">
        <f t="shared" si="62"/>
        <v>3.1333333333333331E-2</v>
      </c>
      <c r="J141" s="1386"/>
      <c r="K141" s="1386"/>
      <c r="L141" s="1386"/>
      <c r="M141" s="1386"/>
      <c r="N141" s="585"/>
      <c r="O141" s="585"/>
      <c r="P141" s="585"/>
      <c r="Q141" s="585"/>
      <c r="R141" s="585"/>
      <c r="S141" s="585"/>
    </row>
    <row r="142" spans="2:19" ht="13.15" hidden="1" customHeight="1" x14ac:dyDescent="0.3">
      <c r="B142" s="1458"/>
      <c r="C142" s="1459" t="s">
        <v>1471</v>
      </c>
      <c r="D142" s="1460"/>
      <c r="E142" s="1461">
        <f>E117</f>
        <v>240</v>
      </c>
      <c r="F142" s="1462">
        <f t="shared" ref="F142:I142" si="64">F117</f>
        <v>0.68300000000000005</v>
      </c>
      <c r="G142" s="1462">
        <f t="shared" si="64"/>
        <v>7.0000000000000001E-3</v>
      </c>
      <c r="H142" s="1462">
        <f t="shared" si="64"/>
        <v>3.9E-2</v>
      </c>
      <c r="I142" s="1463">
        <f t="shared" si="64"/>
        <v>6.8000000000000005E-2</v>
      </c>
      <c r="J142" s="1386"/>
      <c r="K142" s="1386"/>
      <c r="L142" s="1386"/>
      <c r="M142" s="1386"/>
      <c r="N142" s="585"/>
      <c r="O142" s="585"/>
      <c r="P142" s="585"/>
      <c r="Q142" s="585"/>
      <c r="R142" s="585"/>
      <c r="S142" s="585"/>
    </row>
    <row r="143" spans="2:19" ht="13.15" hidden="1" customHeight="1" thickBot="1" x14ac:dyDescent="0.35">
      <c r="B143" s="1466"/>
      <c r="C143" s="1467" t="s">
        <v>1472</v>
      </c>
      <c r="D143" s="1468"/>
      <c r="E143" s="1469">
        <v>400</v>
      </c>
      <c r="F143" s="1470">
        <f>F122/6</f>
        <v>2.8333333333333335E-3</v>
      </c>
      <c r="G143" s="1470">
        <f t="shared" ref="G143:I143" si="65">G122/6</f>
        <v>0</v>
      </c>
      <c r="H143" s="1470">
        <f t="shared" si="65"/>
        <v>5.3333333333333332E-3</v>
      </c>
      <c r="I143" s="1471">
        <f t="shared" si="65"/>
        <v>3.1333333333333331E-2</v>
      </c>
      <c r="J143" s="1386"/>
      <c r="K143" s="1386"/>
      <c r="L143" s="1386"/>
      <c r="M143" s="1386"/>
      <c r="N143" s="585"/>
      <c r="O143" s="585"/>
      <c r="P143" s="585"/>
      <c r="Q143" s="585"/>
      <c r="R143" s="585"/>
      <c r="S143" s="585"/>
    </row>
    <row r="144" spans="2:19" ht="13.15" hidden="1" customHeight="1" x14ac:dyDescent="0.3">
      <c r="B144" s="1387"/>
      <c r="C144" s="1451"/>
      <c r="D144" s="1240"/>
      <c r="E144" s="1240"/>
      <c r="F144" s="1240"/>
      <c r="G144" s="1240"/>
      <c r="H144" s="1386"/>
      <c r="I144" s="1386"/>
      <c r="J144" s="1386"/>
      <c r="K144" s="1386"/>
      <c r="L144" s="1386"/>
      <c r="M144" s="1386"/>
      <c r="N144" s="585"/>
      <c r="O144" s="585"/>
      <c r="P144" s="585"/>
      <c r="Q144" s="585"/>
      <c r="R144" s="585"/>
      <c r="S144" s="585"/>
    </row>
    <row r="145" spans="2:19" ht="13.15" hidden="1" customHeight="1" x14ac:dyDescent="0.3">
      <c r="B145" s="1387"/>
      <c r="C145" s="1451"/>
      <c r="D145" s="1240"/>
      <c r="E145" s="1240"/>
      <c r="F145" s="1240"/>
      <c r="G145" s="1240"/>
      <c r="H145" s="1386"/>
      <c r="I145" s="1386"/>
      <c r="J145" s="1386"/>
      <c r="K145" s="1386"/>
      <c r="L145" s="1386"/>
      <c r="M145" s="1386"/>
      <c r="N145" s="585"/>
      <c r="O145" s="585"/>
      <c r="P145" s="585"/>
      <c r="Q145" s="585"/>
      <c r="R145" s="585"/>
      <c r="S145" s="585"/>
    </row>
    <row r="146" spans="2:19" ht="13.15" hidden="1" customHeight="1" x14ac:dyDescent="0.3">
      <c r="B146" s="1387"/>
      <c r="C146" s="1451" t="s">
        <v>1477</v>
      </c>
      <c r="D146" s="1240"/>
      <c r="E146" s="1240"/>
      <c r="F146" s="1240"/>
      <c r="G146" s="1240"/>
      <c r="H146" s="1386"/>
      <c r="I146" s="1386"/>
      <c r="J146" s="1386"/>
      <c r="K146" s="1386"/>
      <c r="L146" s="1386"/>
      <c r="M146" s="1386"/>
      <c r="N146" s="585"/>
      <c r="O146" s="585"/>
      <c r="P146" s="585"/>
      <c r="Q146" s="585"/>
      <c r="R146" s="585"/>
      <c r="S146" s="585"/>
    </row>
    <row r="147" spans="2:19" ht="13.15" hidden="1" customHeight="1" x14ac:dyDescent="0.3">
      <c r="B147" s="1387"/>
      <c r="C147" s="1451" t="s">
        <v>1474</v>
      </c>
      <c r="D147" s="1240">
        <v>1</v>
      </c>
      <c r="E147" s="1240"/>
      <c r="F147" s="1240"/>
      <c r="G147" s="1240"/>
      <c r="H147" s="1386"/>
      <c r="I147" s="1386"/>
      <c r="J147" s="1386"/>
      <c r="K147" s="1386"/>
      <c r="L147" s="1386"/>
      <c r="M147" s="1386"/>
      <c r="N147" s="585"/>
      <c r="O147" s="585"/>
      <c r="P147" s="585"/>
      <c r="Q147" s="585"/>
      <c r="R147" s="585"/>
      <c r="S147" s="585"/>
    </row>
    <row r="148" spans="2:19" ht="13.15" hidden="1" customHeight="1" x14ac:dyDescent="0.3">
      <c r="B148" s="1387"/>
      <c r="C148" s="1451" t="s">
        <v>1475</v>
      </c>
      <c r="D148" s="1240">
        <v>2.2999999999999998</v>
      </c>
      <c r="E148" s="1240"/>
      <c r="F148" s="1240"/>
      <c r="G148" s="1240"/>
      <c r="H148" s="1386"/>
      <c r="I148" s="1386"/>
      <c r="J148" s="1386"/>
      <c r="K148" s="1386"/>
      <c r="L148" s="1386"/>
      <c r="M148" s="1386"/>
      <c r="N148" s="585"/>
      <c r="O148" s="585"/>
      <c r="P148" s="585"/>
      <c r="Q148" s="585"/>
      <c r="R148" s="585"/>
      <c r="S148" s="585"/>
    </row>
    <row r="149" spans="2:19" ht="13.15" hidden="1" customHeight="1" x14ac:dyDescent="0.3">
      <c r="B149" s="1387"/>
      <c r="C149" s="1451" t="s">
        <v>1476</v>
      </c>
      <c r="D149" s="1240">
        <v>3</v>
      </c>
      <c r="E149" s="1240"/>
      <c r="F149" s="1240"/>
      <c r="G149" s="1240"/>
      <c r="H149" s="1386"/>
      <c r="I149" s="1386"/>
      <c r="J149" s="1386"/>
      <c r="K149" s="1386"/>
      <c r="L149" s="1386"/>
      <c r="M149" s="1386"/>
      <c r="N149" s="585"/>
      <c r="O149" s="585"/>
      <c r="P149" s="585"/>
      <c r="Q149" s="585"/>
      <c r="R149" s="585"/>
      <c r="S149" s="585"/>
    </row>
    <row r="150" spans="2:19" ht="13.15" hidden="1" customHeight="1" x14ac:dyDescent="0.3">
      <c r="B150" s="1387"/>
      <c r="C150" s="1451"/>
      <c r="D150" s="1240"/>
      <c r="E150" s="1240"/>
      <c r="F150" s="1240"/>
      <c r="G150" s="1240"/>
      <c r="H150" s="1386"/>
      <c r="I150" s="1386"/>
      <c r="J150" s="1386"/>
      <c r="K150" s="1386"/>
      <c r="L150" s="1386"/>
      <c r="M150" s="1386"/>
      <c r="N150" s="585"/>
      <c r="O150" s="585"/>
      <c r="P150" s="585"/>
      <c r="Q150" s="585"/>
      <c r="R150" s="585"/>
      <c r="S150" s="585"/>
    </row>
    <row r="151" spans="2:19" ht="13.15" hidden="1" customHeight="1" x14ac:dyDescent="0.3">
      <c r="B151" s="1387"/>
      <c r="C151" s="1451"/>
      <c r="D151" s="1240"/>
      <c r="E151" s="1240"/>
      <c r="F151" s="1240"/>
      <c r="G151" s="1240"/>
      <c r="H151" s="1386"/>
      <c r="I151" s="1386"/>
      <c r="J151" s="1386"/>
      <c r="K151" s="1386"/>
      <c r="L151" s="1386"/>
      <c r="M151" s="1386"/>
      <c r="N151" s="585"/>
      <c r="O151" s="585"/>
      <c r="P151" s="585"/>
      <c r="Q151" s="585"/>
      <c r="R151" s="585"/>
      <c r="S151" s="585"/>
    </row>
    <row r="152" spans="2:19" ht="13.15" hidden="1" customHeight="1" x14ac:dyDescent="0.3">
      <c r="B152" s="1387"/>
      <c r="C152" s="1451"/>
      <c r="D152" s="1240"/>
      <c r="E152" s="1240"/>
      <c r="F152" s="1240"/>
      <c r="G152" s="1240"/>
      <c r="H152" s="1386"/>
      <c r="I152" s="1386"/>
      <c r="J152" s="1386"/>
      <c r="K152" s="1386"/>
      <c r="L152" s="1386"/>
      <c r="M152" s="1386"/>
      <c r="N152" s="585"/>
      <c r="O152" s="585"/>
      <c r="P152" s="585"/>
      <c r="Q152" s="585"/>
      <c r="R152" s="585"/>
      <c r="S152" s="585"/>
    </row>
    <row r="153" spans="2:19" ht="13.15" hidden="1" customHeight="1" x14ac:dyDescent="0.3">
      <c r="B153" s="1387"/>
      <c r="C153" s="1451"/>
      <c r="D153" s="1240"/>
      <c r="E153" s="1240"/>
      <c r="F153" s="1240"/>
      <c r="G153" s="1240"/>
      <c r="H153" s="1386"/>
      <c r="I153" s="1386"/>
      <c r="J153" s="1386"/>
      <c r="K153" s="1386"/>
      <c r="L153" s="1386"/>
      <c r="M153" s="1386"/>
      <c r="N153" s="585"/>
      <c r="O153" s="585"/>
      <c r="P153" s="585"/>
      <c r="Q153" s="585"/>
      <c r="R153" s="585"/>
      <c r="S153" s="585"/>
    </row>
    <row r="154" spans="2:19" ht="13.15" hidden="1" customHeight="1" x14ac:dyDescent="0.3">
      <c r="B154" s="1387"/>
      <c r="C154" s="1451"/>
      <c r="D154" s="1240"/>
      <c r="E154" s="1240"/>
      <c r="F154" s="1240"/>
      <c r="G154" s="1240"/>
      <c r="H154" s="1386"/>
      <c r="I154" s="1386"/>
      <c r="J154" s="1386"/>
      <c r="K154" s="1386"/>
      <c r="L154" s="1386"/>
      <c r="M154" s="1386"/>
      <c r="N154" s="585"/>
      <c r="O154" s="585"/>
      <c r="P154" s="585"/>
      <c r="Q154" s="585"/>
      <c r="R154" s="585"/>
      <c r="S154" s="585"/>
    </row>
    <row r="155" spans="2:19" ht="13.15" hidden="1" customHeight="1" x14ac:dyDescent="0.3">
      <c r="B155" s="1387"/>
      <c r="C155" s="1451"/>
      <c r="D155" s="1240"/>
      <c r="E155" s="1240"/>
      <c r="F155" s="1240"/>
      <c r="G155" s="1240"/>
      <c r="H155" s="1386"/>
      <c r="I155" s="1386"/>
      <c r="J155" s="1386"/>
      <c r="K155" s="1386"/>
      <c r="L155" s="1386"/>
      <c r="M155" s="1386"/>
      <c r="N155" s="585"/>
      <c r="O155" s="585"/>
      <c r="P155" s="585"/>
      <c r="Q155" s="585"/>
      <c r="R155" s="585"/>
      <c r="S155" s="585"/>
    </row>
    <row r="156" spans="2:19" ht="13.15" customHeight="1" thickBot="1" x14ac:dyDescent="0.35">
      <c r="B156" s="1387"/>
      <c r="C156" s="1451"/>
      <c r="D156" s="1240"/>
      <c r="E156" s="1240"/>
      <c r="F156" s="1240"/>
      <c r="G156" s="1240"/>
      <c r="H156" s="1386"/>
      <c r="I156" s="1386"/>
      <c r="J156" s="1386"/>
      <c r="K156" s="1386"/>
      <c r="L156" s="1386"/>
      <c r="M156" s="1386"/>
      <c r="N156" s="585"/>
      <c r="O156" s="585"/>
      <c r="P156" s="585"/>
      <c r="Q156" s="585"/>
      <c r="R156" s="585"/>
      <c r="S156" s="585"/>
    </row>
    <row r="157" spans="2:19" ht="13.15" customHeight="1" thickBot="1" x14ac:dyDescent="0.35">
      <c r="B157" s="1472" t="s">
        <v>1580</v>
      </c>
      <c r="C157" s="1473" t="s">
        <v>1599</v>
      </c>
      <c r="D157" s="1474" t="s">
        <v>1441</v>
      </c>
      <c r="E157" s="1511" t="s">
        <v>1441</v>
      </c>
      <c r="F157" s="1386"/>
      <c r="G157" s="1473" t="s">
        <v>1598</v>
      </c>
      <c r="H157" s="1511" t="s">
        <v>1441</v>
      </c>
      <c r="I157" s="585"/>
      <c r="J157" s="585"/>
      <c r="K157" s="585"/>
      <c r="L157" s="585"/>
      <c r="M157" s="585"/>
      <c r="N157" s="585"/>
      <c r="O157" s="585"/>
      <c r="P157" s="585"/>
      <c r="Q157" s="585"/>
      <c r="R157" s="585"/>
      <c r="S157" s="585"/>
    </row>
    <row r="158" spans="2:19" ht="13.15" customHeight="1" thickBot="1" x14ac:dyDescent="0.35">
      <c r="B158" s="1476"/>
      <c r="C158" s="1477"/>
      <c r="D158" s="1478" t="s">
        <v>1488</v>
      </c>
      <c r="E158" s="1479" t="s">
        <v>1508</v>
      </c>
      <c r="F158" s="1386"/>
      <c r="G158" s="1477"/>
      <c r="H158" s="1479" t="s">
        <v>1508</v>
      </c>
      <c r="I158" s="585"/>
      <c r="J158" s="585"/>
      <c r="K158" s="585"/>
      <c r="L158" s="585"/>
      <c r="M158" s="585"/>
      <c r="N158" s="585"/>
      <c r="O158" s="585"/>
      <c r="P158" s="585"/>
      <c r="Q158" s="585"/>
      <c r="R158" s="585"/>
      <c r="S158" s="585"/>
    </row>
    <row r="159" spans="2:19" ht="13.15" customHeight="1" x14ac:dyDescent="0.3">
      <c r="B159" s="1476"/>
      <c r="C159" s="1480" t="s">
        <v>1466</v>
      </c>
      <c r="D159" s="1481">
        <f>E119</f>
        <v>862</v>
      </c>
      <c r="E159" s="1512">
        <f>D159/1000000</f>
        <v>8.6200000000000003E-4</v>
      </c>
      <c r="F159" s="1386"/>
      <c r="G159" s="1787" t="s">
        <v>1618</v>
      </c>
      <c r="H159" s="1512">
        <f>1074/1000000</f>
        <v>1.0740000000000001E-3</v>
      </c>
      <c r="I159" s="585"/>
      <c r="J159" s="585"/>
      <c r="K159" s="585"/>
      <c r="L159" s="585"/>
      <c r="M159" s="585"/>
      <c r="N159" s="585"/>
      <c r="O159" s="585"/>
      <c r="P159" s="585"/>
      <c r="Q159" s="585"/>
      <c r="R159" s="585"/>
      <c r="S159" s="585"/>
    </row>
    <row r="160" spans="2:19" ht="13.15" customHeight="1" x14ac:dyDescent="0.3">
      <c r="B160" s="1476"/>
      <c r="C160" s="1483" t="s">
        <v>1490</v>
      </c>
      <c r="D160" s="1462">
        <v>400</v>
      </c>
      <c r="E160" s="1512">
        <f t="shared" ref="E160:E164" si="66">D160/1000000</f>
        <v>4.0000000000000002E-4</v>
      </c>
      <c r="F160" s="1386"/>
      <c r="G160" s="1788"/>
      <c r="H160" s="1463"/>
      <c r="I160" s="585"/>
      <c r="J160" s="585"/>
      <c r="K160" s="585"/>
      <c r="L160" s="585"/>
      <c r="M160" s="585"/>
      <c r="N160" s="585"/>
      <c r="O160" s="585"/>
      <c r="P160" s="585"/>
      <c r="Q160" s="585"/>
      <c r="R160" s="585"/>
      <c r="S160" s="585"/>
    </row>
    <row r="161" spans="2:19" ht="13.15" customHeight="1" x14ac:dyDescent="0.3">
      <c r="B161" s="1476"/>
      <c r="C161" s="1483" t="s">
        <v>1491</v>
      </c>
      <c r="D161" s="1462">
        <v>400</v>
      </c>
      <c r="E161" s="1512">
        <f t="shared" si="66"/>
        <v>4.0000000000000002E-4</v>
      </c>
      <c r="F161" s="1386"/>
      <c r="G161" s="1788"/>
      <c r="H161" s="1463"/>
      <c r="I161" s="585"/>
      <c r="J161" s="585"/>
      <c r="K161" s="585"/>
      <c r="L161" s="585"/>
      <c r="M161" s="585"/>
      <c r="N161" s="585"/>
      <c r="O161" s="585"/>
      <c r="P161" s="585"/>
      <c r="Q161" s="585"/>
      <c r="R161" s="585"/>
      <c r="S161" s="585"/>
    </row>
    <row r="162" spans="2:19" ht="13.15" customHeight="1" x14ac:dyDescent="0.3">
      <c r="B162" s="1476"/>
      <c r="C162" s="1483" t="s">
        <v>1492</v>
      </c>
      <c r="D162" s="1462">
        <v>400</v>
      </c>
      <c r="E162" s="1512">
        <f t="shared" si="66"/>
        <v>4.0000000000000002E-4</v>
      </c>
      <c r="F162" s="1386"/>
      <c r="G162" s="1788"/>
      <c r="H162" s="1463"/>
      <c r="I162" s="585"/>
      <c r="J162" s="585"/>
      <c r="K162" s="585"/>
      <c r="L162" s="585"/>
      <c r="M162" s="585"/>
      <c r="N162" s="585"/>
      <c r="O162" s="585"/>
      <c r="P162" s="585"/>
      <c r="Q162" s="585"/>
      <c r="R162" s="585"/>
      <c r="S162" s="585"/>
    </row>
    <row r="163" spans="2:19" ht="13.15" customHeight="1" x14ac:dyDescent="0.3">
      <c r="B163" s="1476"/>
      <c r="C163" s="1483" t="s">
        <v>1471</v>
      </c>
      <c r="D163" s="1462">
        <f>E117</f>
        <v>240</v>
      </c>
      <c r="E163" s="1512">
        <f t="shared" si="66"/>
        <v>2.4000000000000001E-4</v>
      </c>
      <c r="F163" s="1386"/>
      <c r="G163" s="1788" t="s">
        <v>1619</v>
      </c>
      <c r="H163" s="1512">
        <f>100.17/1000000</f>
        <v>1.0017E-4</v>
      </c>
      <c r="I163" s="585"/>
      <c r="J163" s="585"/>
      <c r="K163" s="585"/>
      <c r="L163" s="585"/>
      <c r="M163" s="585"/>
      <c r="N163" s="585"/>
      <c r="O163" s="585"/>
      <c r="P163" s="585"/>
      <c r="Q163" s="585"/>
      <c r="R163" s="585"/>
      <c r="S163" s="585"/>
    </row>
    <row r="164" spans="2:19" ht="13.15" customHeight="1" thickBot="1" x14ac:dyDescent="0.35">
      <c r="B164" s="1485"/>
      <c r="C164" s="1486" t="s">
        <v>1472</v>
      </c>
      <c r="D164" s="1470">
        <v>400</v>
      </c>
      <c r="E164" s="1513">
        <f t="shared" si="66"/>
        <v>4.0000000000000002E-4</v>
      </c>
      <c r="F164" s="1386"/>
      <c r="G164" s="1789"/>
      <c r="H164" s="1471"/>
      <c r="I164" s="585"/>
      <c r="J164" s="585"/>
      <c r="K164" s="585"/>
      <c r="L164" s="585"/>
      <c r="M164" s="585"/>
      <c r="N164" s="585"/>
      <c r="O164" s="585"/>
      <c r="P164" s="585"/>
      <c r="Q164" s="585"/>
      <c r="R164" s="585"/>
      <c r="S164" s="585"/>
    </row>
    <row r="165" spans="2:19" ht="13.15" customHeight="1" x14ac:dyDescent="0.3">
      <c r="B165" s="1387"/>
      <c r="C165" s="1717" t="s">
        <v>1570</v>
      </c>
      <c r="D165" s="1240"/>
      <c r="E165" s="1240"/>
      <c r="F165" s="1240"/>
      <c r="G165" s="1717" t="s">
        <v>1622</v>
      </c>
      <c r="H165" s="1386"/>
      <c r="I165" s="1386"/>
      <c r="J165" s="1386"/>
      <c r="K165" s="1386"/>
      <c r="L165" s="1386"/>
      <c r="M165" s="1386"/>
      <c r="N165" s="585"/>
      <c r="O165" s="585"/>
      <c r="P165" s="585"/>
      <c r="Q165" s="585"/>
      <c r="R165" s="585"/>
      <c r="S165" s="585"/>
    </row>
    <row r="166" spans="2:19" ht="13.15" customHeight="1" thickBot="1" x14ac:dyDescent="0.35">
      <c r="B166" s="1387"/>
      <c r="C166" s="1717"/>
      <c r="D166" s="1240"/>
      <c r="E166" s="1240"/>
      <c r="F166" s="1240"/>
      <c r="G166" s="1240"/>
      <c r="H166" s="1386"/>
      <c r="I166" s="1386"/>
      <c r="J166" s="1386"/>
      <c r="K166" s="1386"/>
      <c r="L166" s="1386"/>
      <c r="M166" s="1386"/>
      <c r="N166" s="585"/>
      <c r="O166" s="585"/>
      <c r="P166" s="585"/>
      <c r="Q166" s="585"/>
      <c r="R166" s="585"/>
      <c r="S166" s="585"/>
    </row>
    <row r="167" spans="2:19" ht="13.15" customHeight="1" x14ac:dyDescent="0.3">
      <c r="B167" s="1743"/>
      <c r="C167" s="1744"/>
      <c r="D167" s="1744"/>
      <c r="E167" s="1744"/>
      <c r="F167" s="1744"/>
      <c r="G167" s="1744"/>
      <c r="H167" s="1744"/>
      <c r="I167" s="1744"/>
      <c r="J167" s="1744"/>
      <c r="K167" s="1744"/>
      <c r="L167" s="1744"/>
      <c r="M167" s="1744"/>
      <c r="N167" s="1744"/>
      <c r="O167" s="1745"/>
      <c r="P167" s="585"/>
      <c r="Q167" s="585"/>
      <c r="R167" s="585"/>
      <c r="S167" s="585"/>
    </row>
    <row r="168" spans="2:19" ht="13.15" customHeight="1" x14ac:dyDescent="0.3">
      <c r="B168" s="1746" t="s">
        <v>1615</v>
      </c>
      <c r="C168" s="1747" t="s">
        <v>1625</v>
      </c>
      <c r="D168" s="1748"/>
      <c r="E168" s="1748"/>
      <c r="F168" s="1748"/>
      <c r="G168" s="1748"/>
      <c r="H168" s="1748"/>
      <c r="I168" s="1748"/>
      <c r="J168" s="1748"/>
      <c r="K168" s="1748"/>
      <c r="L168" s="1748"/>
      <c r="M168" s="1748"/>
      <c r="N168" s="1748"/>
      <c r="O168" s="1749"/>
      <c r="P168" s="585"/>
      <c r="Q168" s="585"/>
      <c r="R168" s="585"/>
      <c r="S168" s="585"/>
    </row>
    <row r="169" spans="2:19" ht="13.15" customHeight="1" thickBot="1" x14ac:dyDescent="0.35">
      <c r="B169" s="1750"/>
      <c r="C169" s="1751"/>
      <c r="D169" s="1751"/>
      <c r="E169" s="1751"/>
      <c r="F169" s="1751"/>
      <c r="G169" s="1751"/>
      <c r="H169" s="1751"/>
      <c r="I169" s="1751"/>
      <c r="J169" s="1751"/>
      <c r="K169" s="1751"/>
      <c r="L169" s="1751"/>
      <c r="M169" s="1751"/>
      <c r="N169" s="1751"/>
      <c r="O169" s="1749"/>
      <c r="P169" s="585"/>
      <c r="Q169" s="585"/>
      <c r="R169" s="585"/>
      <c r="S169" s="585"/>
    </row>
    <row r="170" spans="2:19" ht="13.15" customHeight="1" x14ac:dyDescent="0.3">
      <c r="B170" s="1750"/>
      <c r="C170" s="1763" t="s">
        <v>102</v>
      </c>
      <c r="D170" s="53">
        <v>2018</v>
      </c>
      <c r="E170" s="53">
        <f>D170+1</f>
        <v>2019</v>
      </c>
      <c r="F170" s="53">
        <f t="shared" ref="F170:N170" si="67">E170+1</f>
        <v>2020</v>
      </c>
      <c r="G170" s="53">
        <f t="shared" si="67"/>
        <v>2021</v>
      </c>
      <c r="H170" s="53">
        <f t="shared" si="67"/>
        <v>2022</v>
      </c>
      <c r="I170" s="53">
        <f t="shared" si="67"/>
        <v>2023</v>
      </c>
      <c r="J170" s="53">
        <f t="shared" si="67"/>
        <v>2024</v>
      </c>
      <c r="K170" s="53">
        <f t="shared" si="67"/>
        <v>2025</v>
      </c>
      <c r="L170" s="53">
        <f t="shared" si="67"/>
        <v>2026</v>
      </c>
      <c r="M170" s="53">
        <f t="shared" si="67"/>
        <v>2027</v>
      </c>
      <c r="N170" s="53">
        <f t="shared" si="67"/>
        <v>2028</v>
      </c>
      <c r="O170" s="1752"/>
      <c r="P170" s="585"/>
      <c r="Q170" s="585"/>
      <c r="R170" s="585"/>
      <c r="S170" s="585"/>
    </row>
    <row r="171" spans="2:19" ht="13.15" customHeight="1" thickBot="1" x14ac:dyDescent="0.35">
      <c r="B171" s="1750"/>
      <c r="C171" s="1764" t="s">
        <v>1597</v>
      </c>
      <c r="D171" s="1742">
        <v>-2.1894391757405374E-2</v>
      </c>
      <c r="E171" s="1742">
        <v>-2.2384486473545517E-2</v>
      </c>
      <c r="F171" s="1742">
        <v>-2.2897024611240546E-2</v>
      </c>
      <c r="G171" s="1742">
        <v>-9.5614035087719929E-3</v>
      </c>
      <c r="H171" s="1742">
        <v>-9.6537064918962301E-3</v>
      </c>
      <c r="I171" s="1742">
        <v>-9.7478089787158551E-3</v>
      </c>
      <c r="J171" s="1742">
        <v>-9.8437641109003771E-3</v>
      </c>
      <c r="K171" s="1742">
        <v>-9.9416271433783177E-3</v>
      </c>
      <c r="L171" s="1742">
        <v>-1.0041455550437672E-2</v>
      </c>
      <c r="M171" s="1742">
        <v>-1.0143309138284096E-2</v>
      </c>
      <c r="N171" s="1742">
        <v>-1.0247250164520105E-2</v>
      </c>
      <c r="O171" s="1753"/>
      <c r="P171" s="585"/>
      <c r="Q171" s="585"/>
      <c r="R171" s="585"/>
      <c r="S171" s="585"/>
    </row>
    <row r="172" spans="2:19" ht="13.15" customHeight="1" x14ac:dyDescent="0.3">
      <c r="B172" s="1750"/>
      <c r="C172" s="1754"/>
      <c r="D172" s="1755"/>
      <c r="E172" s="1755"/>
      <c r="F172" s="1755"/>
      <c r="G172" s="1755"/>
      <c r="H172" s="1755"/>
      <c r="I172" s="1755"/>
      <c r="J172" s="1755"/>
      <c r="K172" s="1756"/>
      <c r="L172" s="1756"/>
      <c r="M172" s="1756"/>
      <c r="N172" s="1756"/>
      <c r="O172" s="1753"/>
      <c r="P172" s="585"/>
      <c r="Q172" s="585"/>
      <c r="R172" s="585"/>
      <c r="S172" s="585"/>
    </row>
    <row r="173" spans="2:19" ht="13.15" customHeight="1" thickBot="1" x14ac:dyDescent="0.35">
      <c r="B173" s="1750"/>
      <c r="C173" s="1757"/>
      <c r="D173" s="1755"/>
      <c r="E173" s="1755"/>
      <c r="F173" s="1755"/>
      <c r="G173" s="1755"/>
      <c r="H173" s="1755"/>
      <c r="I173" s="1755"/>
      <c r="J173" s="1755"/>
      <c r="K173" s="1756"/>
      <c r="L173" s="1756"/>
      <c r="M173" s="1756"/>
      <c r="N173" s="1756"/>
      <c r="O173" s="1753"/>
      <c r="P173" s="585"/>
      <c r="Q173" s="585"/>
      <c r="R173" s="585"/>
      <c r="S173" s="585"/>
    </row>
    <row r="174" spans="2:19" ht="13.15" customHeight="1" x14ac:dyDescent="0.3">
      <c r="B174" s="1750"/>
      <c r="C174" s="1763" t="str">
        <f>C170</f>
        <v>rok</v>
      </c>
      <c r="D174" s="53">
        <f>N170+1</f>
        <v>2029</v>
      </c>
      <c r="E174" s="53">
        <f>D174+1</f>
        <v>2030</v>
      </c>
      <c r="F174" s="53">
        <f t="shared" ref="F174:N174" si="68">E174+1</f>
        <v>2031</v>
      </c>
      <c r="G174" s="53">
        <f t="shared" si="68"/>
        <v>2032</v>
      </c>
      <c r="H174" s="53">
        <f t="shared" si="68"/>
        <v>2033</v>
      </c>
      <c r="I174" s="53">
        <f t="shared" si="68"/>
        <v>2034</v>
      </c>
      <c r="J174" s="53">
        <f t="shared" si="68"/>
        <v>2035</v>
      </c>
      <c r="K174" s="53">
        <f t="shared" si="68"/>
        <v>2036</v>
      </c>
      <c r="L174" s="53">
        <f t="shared" si="68"/>
        <v>2037</v>
      </c>
      <c r="M174" s="53">
        <f t="shared" si="68"/>
        <v>2038</v>
      </c>
      <c r="N174" s="53">
        <f t="shared" si="68"/>
        <v>2039</v>
      </c>
      <c r="O174" s="1753"/>
      <c r="P174" s="585"/>
      <c r="Q174" s="585"/>
      <c r="R174" s="585"/>
      <c r="S174" s="585"/>
    </row>
    <row r="175" spans="2:19" ht="13.15" customHeight="1" thickBot="1" x14ac:dyDescent="0.35">
      <c r="B175" s="1750"/>
      <c r="C175" s="1764" t="str">
        <f>C171</f>
        <v>meziroční změna</v>
      </c>
      <c r="D175" s="1742">
        <v>-1.0353343465045572E-2</v>
      </c>
      <c r="E175" s="1742">
        <v>-1.046165658892384E-2</v>
      </c>
      <c r="F175" s="1742">
        <v>-3.1813773035887505E-2</v>
      </c>
      <c r="G175" s="1742">
        <v>-3.2859146463634525E-2</v>
      </c>
      <c r="H175" s="1742">
        <v>-3.3975554174435429E-2</v>
      </c>
      <c r="I175" s="1742">
        <v>-3.5170491100150136E-2</v>
      </c>
      <c r="J175" s="1742">
        <v>-3.645254501000228E-2</v>
      </c>
      <c r="K175" s="1742">
        <v>-3.7831603229527166E-2</v>
      </c>
      <c r="L175" s="1742">
        <v>-3.9319108127547353E-2</v>
      </c>
      <c r="M175" s="1742">
        <v>-4.0928375343149526E-2</v>
      </c>
      <c r="N175" s="1742">
        <v>-4.2674993494665636E-2</v>
      </c>
      <c r="O175" s="1753"/>
      <c r="P175" s="585"/>
      <c r="Q175" s="585"/>
      <c r="R175" s="585"/>
      <c r="S175" s="585"/>
    </row>
    <row r="176" spans="2:19" ht="13.15" customHeight="1" x14ac:dyDescent="0.3">
      <c r="B176" s="1750"/>
      <c r="C176" s="1754"/>
      <c r="D176" s="1755"/>
      <c r="E176" s="1755"/>
      <c r="F176" s="1755"/>
      <c r="G176" s="1755"/>
      <c r="H176" s="1755"/>
      <c r="I176" s="1755"/>
      <c r="J176" s="1755"/>
      <c r="K176" s="1756"/>
      <c r="L176" s="1756"/>
      <c r="M176" s="1756"/>
      <c r="N176" s="1756"/>
      <c r="O176" s="1753"/>
      <c r="P176" s="585"/>
      <c r="Q176" s="585"/>
      <c r="R176" s="585"/>
      <c r="S176" s="585"/>
    </row>
    <row r="177" spans="2:19" ht="13.15" customHeight="1" thickBot="1" x14ac:dyDescent="0.35">
      <c r="B177" s="1750"/>
      <c r="C177" s="1757"/>
      <c r="D177" s="1755"/>
      <c r="E177" s="1755"/>
      <c r="F177" s="1755"/>
      <c r="G177" s="1755"/>
      <c r="H177" s="1755"/>
      <c r="I177" s="1755"/>
      <c r="J177" s="1755"/>
      <c r="K177" s="1756"/>
      <c r="L177" s="1756"/>
      <c r="M177" s="1756"/>
      <c r="N177" s="1756"/>
      <c r="O177" s="1753"/>
      <c r="P177" s="585"/>
      <c r="Q177" s="585"/>
      <c r="R177" s="585"/>
      <c r="S177" s="585"/>
    </row>
    <row r="178" spans="2:19" ht="13.15" customHeight="1" x14ac:dyDescent="0.3">
      <c r="B178" s="1750"/>
      <c r="C178" s="1763" t="str">
        <f>C174</f>
        <v>rok</v>
      </c>
      <c r="D178" s="53">
        <f>N174+1</f>
        <v>2040</v>
      </c>
      <c r="E178" s="53">
        <f>D178+1</f>
        <v>2041</v>
      </c>
      <c r="F178" s="53">
        <f t="shared" ref="F178:N178" si="69">E178+1</f>
        <v>2042</v>
      </c>
      <c r="G178" s="53">
        <f t="shared" si="69"/>
        <v>2043</v>
      </c>
      <c r="H178" s="53">
        <f t="shared" si="69"/>
        <v>2044</v>
      </c>
      <c r="I178" s="53">
        <f t="shared" si="69"/>
        <v>2045</v>
      </c>
      <c r="J178" s="53">
        <f t="shared" si="69"/>
        <v>2046</v>
      </c>
      <c r="K178" s="53">
        <f t="shared" si="69"/>
        <v>2047</v>
      </c>
      <c r="L178" s="53">
        <f t="shared" si="69"/>
        <v>2048</v>
      </c>
      <c r="M178" s="53">
        <f t="shared" si="69"/>
        <v>2049</v>
      </c>
      <c r="N178" s="53">
        <f t="shared" si="69"/>
        <v>2050</v>
      </c>
      <c r="O178" s="1752" t="s">
        <v>1596</v>
      </c>
      <c r="P178" s="585"/>
      <c r="Q178" s="585"/>
      <c r="R178" s="585"/>
      <c r="S178" s="585"/>
    </row>
    <row r="179" spans="2:19" ht="13.15" customHeight="1" thickBot="1" x14ac:dyDescent="0.35">
      <c r="B179" s="1750"/>
      <c r="C179" s="1764" t="str">
        <f>C175</f>
        <v>meziroční změna</v>
      </c>
      <c r="D179" s="1742">
        <v>-4.4577330796411907E-2</v>
      </c>
      <c r="E179" s="1742">
        <v>-4.5092460881934637E-2</v>
      </c>
      <c r="F179" s="1742">
        <v>-4.7221808431401779E-2</v>
      </c>
      <c r="G179" s="1742">
        <v>-4.9562226391494768E-2</v>
      </c>
      <c r="H179" s="1742">
        <v>-5.214673466030606E-2</v>
      </c>
      <c r="I179" s="1742">
        <v>-5.5015619576536001E-2</v>
      </c>
      <c r="J179" s="1742">
        <v>-5.8218549127640129E-2</v>
      </c>
      <c r="K179" s="1742">
        <v>-6.1817472698908027E-2</v>
      </c>
      <c r="L179" s="1742">
        <v>-6.5890667220952048E-2</v>
      </c>
      <c r="M179" s="1742">
        <v>-7.0538495772140664E-2</v>
      </c>
      <c r="N179" s="1742">
        <v>-7.5891788364854773E-2</v>
      </c>
      <c r="O179" s="1753"/>
      <c r="P179" s="585"/>
      <c r="Q179" s="585"/>
      <c r="R179" s="585"/>
      <c r="S179" s="585"/>
    </row>
    <row r="180" spans="2:19" ht="13.15" customHeight="1" x14ac:dyDescent="0.3">
      <c r="B180" s="1750"/>
      <c r="C180" s="1755"/>
      <c r="D180" s="1755"/>
      <c r="E180" s="1755"/>
      <c r="F180" s="1755"/>
      <c r="G180" s="1755"/>
      <c r="H180" s="1755"/>
      <c r="I180" s="1755"/>
      <c r="J180" s="1755"/>
      <c r="K180" s="1756"/>
      <c r="L180" s="1756"/>
      <c r="M180" s="1756"/>
      <c r="N180" s="1756"/>
      <c r="O180" s="1753"/>
      <c r="P180" s="585"/>
      <c r="Q180" s="585"/>
      <c r="R180" s="585"/>
      <c r="S180" s="585"/>
    </row>
    <row r="181" spans="2:19" ht="13.15" customHeight="1" x14ac:dyDescent="0.3">
      <c r="B181" s="1750"/>
      <c r="C181" s="1758"/>
      <c r="D181" s="1755"/>
      <c r="E181" s="1755"/>
      <c r="F181" s="1755"/>
      <c r="G181" s="1755"/>
      <c r="H181" s="1755"/>
      <c r="I181" s="1755"/>
      <c r="J181" s="1755"/>
      <c r="K181" s="1756"/>
      <c r="L181" s="1756"/>
      <c r="M181" s="1756"/>
      <c r="N181" s="1756"/>
      <c r="O181" s="1753"/>
      <c r="P181" s="585"/>
      <c r="Q181" s="585"/>
      <c r="R181" s="585"/>
      <c r="S181" s="585"/>
    </row>
    <row r="182" spans="2:19" ht="13.15" customHeight="1" x14ac:dyDescent="0.3">
      <c r="B182" s="1750"/>
      <c r="C182" s="1759" t="s">
        <v>1626</v>
      </c>
      <c r="D182" s="1751"/>
      <c r="E182" s="1751"/>
      <c r="F182" s="1751"/>
      <c r="G182" s="1751"/>
      <c r="H182" s="1751"/>
      <c r="I182" s="1751"/>
      <c r="J182" s="1751"/>
      <c r="K182" s="1751"/>
      <c r="L182" s="1751"/>
      <c r="M182" s="1751"/>
      <c r="N182" s="1751"/>
      <c r="O182" s="1753"/>
      <c r="P182" s="585"/>
      <c r="Q182" s="585"/>
      <c r="R182" s="585"/>
      <c r="S182" s="585"/>
    </row>
    <row r="183" spans="2:19" ht="13.15" customHeight="1" x14ac:dyDescent="0.3">
      <c r="B183" s="1750"/>
      <c r="C183" s="1759" t="s">
        <v>1600</v>
      </c>
      <c r="D183" s="1751"/>
      <c r="E183" s="1751"/>
      <c r="F183" s="1751"/>
      <c r="G183" s="1751"/>
      <c r="H183" s="1751"/>
      <c r="I183" s="1751"/>
      <c r="J183" s="1751"/>
      <c r="K183" s="1751"/>
      <c r="L183" s="1751"/>
      <c r="M183" s="1751"/>
      <c r="N183" s="1751"/>
      <c r="O183" s="1753"/>
      <c r="P183" s="585"/>
      <c r="Q183" s="585"/>
      <c r="R183" s="585"/>
      <c r="S183" s="585"/>
    </row>
    <row r="184" spans="2:19" ht="13.15" customHeight="1" thickBot="1" x14ac:dyDescent="0.35">
      <c r="B184" s="1760"/>
      <c r="C184" s="1761"/>
      <c r="D184" s="1761"/>
      <c r="E184" s="1761"/>
      <c r="F184" s="1761"/>
      <c r="G184" s="1761"/>
      <c r="H184" s="1761"/>
      <c r="I184" s="1761"/>
      <c r="J184" s="1761"/>
      <c r="K184" s="1761"/>
      <c r="L184" s="1761"/>
      <c r="M184" s="1761"/>
      <c r="N184" s="1761"/>
      <c r="O184" s="1762"/>
      <c r="P184" s="585"/>
      <c r="Q184" s="585"/>
      <c r="R184" s="585"/>
      <c r="S184" s="585"/>
    </row>
    <row r="185" spans="2:19" ht="13.15" customHeight="1" thickBot="1" x14ac:dyDescent="0.35">
      <c r="B185" s="1387"/>
      <c r="C185" s="1717"/>
      <c r="D185" s="1240"/>
      <c r="E185" s="1240"/>
      <c r="F185" s="1240"/>
      <c r="G185" s="1240"/>
      <c r="H185" s="1386"/>
      <c r="I185" s="1386"/>
      <c r="J185" s="1386"/>
      <c r="K185" s="1386"/>
      <c r="L185" s="1386"/>
      <c r="M185" s="1386"/>
      <c r="N185" s="585"/>
      <c r="O185" s="585"/>
      <c r="P185" s="585"/>
      <c r="Q185" s="585"/>
      <c r="R185" s="585"/>
      <c r="S185" s="585"/>
    </row>
    <row r="186" spans="2:19" ht="13.15" customHeight="1" x14ac:dyDescent="0.3">
      <c r="B186" s="1743"/>
      <c r="C186" s="1744"/>
      <c r="D186" s="1744"/>
      <c r="E186" s="1744"/>
      <c r="F186" s="1744"/>
      <c r="G186" s="1744"/>
      <c r="H186" s="1744"/>
      <c r="I186" s="1744"/>
      <c r="J186" s="1744"/>
      <c r="K186" s="1744"/>
      <c r="L186" s="1744"/>
      <c r="M186" s="1744"/>
      <c r="N186" s="1744"/>
      <c r="O186" s="1744"/>
      <c r="P186" s="1745"/>
      <c r="Q186" s="585"/>
      <c r="R186" s="585"/>
      <c r="S186" s="585"/>
    </row>
    <row r="187" spans="2:19" ht="13.15" customHeight="1" x14ac:dyDescent="0.3">
      <c r="B187" s="1746" t="s">
        <v>1620</v>
      </c>
      <c r="C187" s="1747" t="s">
        <v>1614</v>
      </c>
      <c r="D187" s="1748"/>
      <c r="E187" s="1748"/>
      <c r="F187" s="1748"/>
      <c r="G187" s="1748"/>
      <c r="H187" s="1748"/>
      <c r="I187" s="1748"/>
      <c r="J187" s="1748"/>
      <c r="K187" s="1748"/>
      <c r="L187" s="1748"/>
      <c r="M187" s="1748"/>
      <c r="N187" s="1748"/>
      <c r="O187" s="1748"/>
      <c r="P187" s="1749"/>
      <c r="Q187" s="585"/>
      <c r="R187" s="585"/>
      <c r="S187" s="585"/>
    </row>
    <row r="188" spans="2:19" ht="13.15" customHeight="1" thickBot="1" x14ac:dyDescent="0.35">
      <c r="B188" s="1750"/>
      <c r="C188" s="1751"/>
      <c r="D188" s="1751"/>
      <c r="E188" s="1751"/>
      <c r="F188" s="1751"/>
      <c r="G188" s="1751"/>
      <c r="H188" s="1751"/>
      <c r="I188" s="1751"/>
      <c r="J188" s="1751"/>
      <c r="K188" s="1751"/>
      <c r="L188" s="1751"/>
      <c r="M188" s="1751"/>
      <c r="N188" s="1751"/>
      <c r="O188" s="1751"/>
      <c r="P188" s="1749"/>
      <c r="Q188" s="585"/>
      <c r="R188" s="585"/>
      <c r="S188" s="585"/>
    </row>
    <row r="189" spans="2:19" ht="13.15" customHeight="1" thickBot="1" x14ac:dyDescent="0.35">
      <c r="B189" s="1750"/>
      <c r="C189" s="2155" t="s">
        <v>102</v>
      </c>
      <c r="D189" s="2156"/>
      <c r="E189" s="1780">
        <v>2020</v>
      </c>
      <c r="F189" s="1780">
        <f>E189+1</f>
        <v>2021</v>
      </c>
      <c r="G189" s="1780">
        <f t="shared" ref="G189:O189" si="70">F189+1</f>
        <v>2022</v>
      </c>
      <c r="H189" s="1780">
        <f t="shared" si="70"/>
        <v>2023</v>
      </c>
      <c r="I189" s="1780">
        <f t="shared" si="70"/>
        <v>2024</v>
      </c>
      <c r="J189" s="1780">
        <f t="shared" si="70"/>
        <v>2025</v>
      </c>
      <c r="K189" s="1780">
        <f t="shared" si="70"/>
        <v>2026</v>
      </c>
      <c r="L189" s="1780">
        <f t="shared" si="70"/>
        <v>2027</v>
      </c>
      <c r="M189" s="1780">
        <f t="shared" si="70"/>
        <v>2028</v>
      </c>
      <c r="N189" s="1780">
        <f t="shared" si="70"/>
        <v>2029</v>
      </c>
      <c r="O189" s="1780">
        <f t="shared" si="70"/>
        <v>2030</v>
      </c>
      <c r="P189" s="1752"/>
      <c r="Q189" s="585"/>
      <c r="R189" s="585"/>
      <c r="S189" s="585"/>
    </row>
    <row r="190" spans="2:19" ht="13.15" customHeight="1" x14ac:dyDescent="0.3">
      <c r="B190" s="1750"/>
      <c r="C190" s="2163" t="s">
        <v>1605</v>
      </c>
      <c r="D190" s="2169"/>
      <c r="E190" s="1773">
        <v>0.38500000000000001</v>
      </c>
      <c r="F190" s="1773">
        <v>0.3831609553478712</v>
      </c>
      <c r="G190" s="1773">
        <v>0.38132191069574251</v>
      </c>
      <c r="H190" s="1773">
        <v>0.37948286604361375</v>
      </c>
      <c r="I190" s="1773">
        <v>0.37764382139148495</v>
      </c>
      <c r="J190" s="1773">
        <v>0.37580477673935614</v>
      </c>
      <c r="K190" s="1773">
        <v>0.36974392523364485</v>
      </c>
      <c r="L190" s="1773">
        <v>0.36368307372793357</v>
      </c>
      <c r="M190" s="1773">
        <v>0.35762222222222223</v>
      </c>
      <c r="N190" s="1773">
        <v>0.35156137071651095</v>
      </c>
      <c r="O190" s="1773">
        <v>0.34550051921079961</v>
      </c>
      <c r="P190" s="1753"/>
      <c r="Q190" s="585"/>
      <c r="R190" s="585"/>
      <c r="S190" s="585"/>
    </row>
    <row r="191" spans="2:19" ht="13.15" customHeight="1" x14ac:dyDescent="0.3">
      <c r="B191" s="1750"/>
      <c r="C191" s="2165" t="s">
        <v>1606</v>
      </c>
      <c r="D191" s="2166"/>
      <c r="E191" s="1781">
        <v>0.57799999999999996</v>
      </c>
      <c r="F191" s="1781">
        <v>0.57523904465212872</v>
      </c>
      <c r="G191" s="1781">
        <v>0.57247808930425759</v>
      </c>
      <c r="H191" s="1781">
        <v>0.56971713395638635</v>
      </c>
      <c r="I191" s="1781">
        <v>0.56695617860851499</v>
      </c>
      <c r="J191" s="1781">
        <v>0.56419522326064375</v>
      </c>
      <c r="K191" s="1781">
        <v>0.55509607476635514</v>
      </c>
      <c r="L191" s="1781">
        <v>0.54599692627206653</v>
      </c>
      <c r="M191" s="1781">
        <v>0.53689777777777781</v>
      </c>
      <c r="N191" s="1781">
        <v>0.52779862928348908</v>
      </c>
      <c r="O191" s="1781">
        <v>0.51869948078920036</v>
      </c>
      <c r="P191" s="1753"/>
      <c r="Q191" s="585"/>
      <c r="R191" s="585"/>
      <c r="S191" s="585"/>
    </row>
    <row r="192" spans="2:19" ht="13.15" customHeight="1" x14ac:dyDescent="0.3">
      <c r="B192" s="1750"/>
      <c r="C192" s="2165" t="s">
        <v>1607</v>
      </c>
      <c r="D192" s="2166"/>
      <c r="E192" s="1774">
        <v>1.7999999999999999E-2</v>
      </c>
      <c r="F192" s="1774">
        <v>1.6999999999999998E-2</v>
      </c>
      <c r="G192" s="1774">
        <v>1.5999999999999997E-2</v>
      </c>
      <c r="H192" s="1774">
        <v>1.4999999999999998E-2</v>
      </c>
      <c r="I192" s="1774">
        <v>1.3999999999999999E-2</v>
      </c>
      <c r="J192" s="1774">
        <v>1.2999999999999999E-2</v>
      </c>
      <c r="K192" s="1774">
        <v>1.2E-2</v>
      </c>
      <c r="L192" s="1774">
        <v>1.1000000000000001E-2</v>
      </c>
      <c r="M192" s="1774">
        <v>1.0000000000000002E-2</v>
      </c>
      <c r="N192" s="1774">
        <v>9.0000000000000028E-3</v>
      </c>
      <c r="O192" s="1774">
        <v>8.0000000000000002E-3</v>
      </c>
      <c r="P192" s="1753"/>
      <c r="Q192" s="585"/>
      <c r="R192" s="585"/>
      <c r="S192" s="585"/>
    </row>
    <row r="193" spans="2:19" ht="13.15" customHeight="1" x14ac:dyDescent="0.3">
      <c r="B193" s="1750"/>
      <c r="C193" s="2165" t="s">
        <v>1608</v>
      </c>
      <c r="D193" s="2166"/>
      <c r="E193" s="1781">
        <v>1.0999999999999999E-2</v>
      </c>
      <c r="F193" s="1781">
        <v>1.18E-2</v>
      </c>
      <c r="G193" s="1781">
        <v>1.26E-2</v>
      </c>
      <c r="H193" s="1781">
        <v>1.34E-2</v>
      </c>
      <c r="I193" s="1781">
        <v>1.4200000000000001E-2</v>
      </c>
      <c r="J193" s="1781">
        <v>1.4999999999999999E-2</v>
      </c>
      <c r="K193" s="1781">
        <v>1.5599999999999999E-2</v>
      </c>
      <c r="L193" s="1781">
        <v>1.6199999999999999E-2</v>
      </c>
      <c r="M193" s="1781">
        <v>1.6799999999999999E-2</v>
      </c>
      <c r="N193" s="1781">
        <v>1.7399999999999999E-2</v>
      </c>
      <c r="O193" s="1781">
        <v>1.7999999999999999E-2</v>
      </c>
      <c r="P193" s="1753"/>
      <c r="Q193" s="585"/>
      <c r="R193" s="585"/>
      <c r="S193" s="585"/>
    </row>
    <row r="194" spans="2:19" ht="13.15" customHeight="1" x14ac:dyDescent="0.3">
      <c r="B194" s="1750"/>
      <c r="C194" s="2165" t="s">
        <v>1609</v>
      </c>
      <c r="D194" s="2166"/>
      <c r="E194" s="1774">
        <v>5.0000000000000001E-3</v>
      </c>
      <c r="F194" s="1774">
        <v>6.6599999999999906E-3</v>
      </c>
      <c r="G194" s="1774">
        <v>8.3199999999999802E-3</v>
      </c>
      <c r="H194" s="1774">
        <v>9.9799999999999698E-3</v>
      </c>
      <c r="I194" s="1774">
        <v>1.1639999999999959E-2</v>
      </c>
      <c r="J194" s="1774">
        <v>1.3299999999999951E-2</v>
      </c>
      <c r="K194" s="1774">
        <v>1.8039999999999966E-2</v>
      </c>
      <c r="L194" s="1774">
        <v>2.2779999999999981E-2</v>
      </c>
      <c r="M194" s="1774">
        <v>2.7519999999999996E-2</v>
      </c>
      <c r="N194" s="1774">
        <v>3.2260000000000011E-2</v>
      </c>
      <c r="O194" s="1774">
        <v>3.7000000000000019E-2</v>
      </c>
      <c r="P194" s="1753"/>
      <c r="Q194" s="585"/>
      <c r="R194" s="585"/>
      <c r="S194" s="585"/>
    </row>
    <row r="195" spans="2:19" ht="13.15" customHeight="1" thickBot="1" x14ac:dyDescent="0.35">
      <c r="B195" s="1750"/>
      <c r="C195" s="2167" t="s">
        <v>1610</v>
      </c>
      <c r="D195" s="2168"/>
      <c r="E195" s="1782">
        <v>3.0000000000000001E-3</v>
      </c>
      <c r="F195" s="1782">
        <v>6.14000000000001E-3</v>
      </c>
      <c r="G195" s="1782">
        <v>9.2800000000000209E-3</v>
      </c>
      <c r="H195" s="1782">
        <v>1.2420000000000032E-2</v>
      </c>
      <c r="I195" s="1782">
        <v>1.5560000000000043E-2</v>
      </c>
      <c r="J195" s="1782">
        <v>1.870000000000005E-2</v>
      </c>
      <c r="K195" s="1782">
        <v>2.9499999999999971E-2</v>
      </c>
      <c r="L195" s="1782">
        <v>4.0319999999999953E-2</v>
      </c>
      <c r="M195" s="1782">
        <v>5.1139999999999936E-2</v>
      </c>
      <c r="N195" s="1782">
        <v>6.1959999999999918E-2</v>
      </c>
      <c r="O195" s="1782">
        <v>7.2799999999999976E-2</v>
      </c>
      <c r="P195" s="1753"/>
      <c r="Q195" s="585"/>
      <c r="R195" s="585"/>
      <c r="S195" s="585"/>
    </row>
    <row r="196" spans="2:19" ht="13.15" customHeight="1" x14ac:dyDescent="0.3">
      <c r="B196" s="1750"/>
      <c r="C196" s="2163" t="s">
        <v>1611</v>
      </c>
      <c r="D196" s="2169"/>
      <c r="E196" s="1773">
        <v>1</v>
      </c>
      <c r="F196" s="1773">
        <v>0.99</v>
      </c>
      <c r="G196" s="1773">
        <v>0.98</v>
      </c>
      <c r="H196" s="1773">
        <v>0.97</v>
      </c>
      <c r="I196" s="1773">
        <v>0.96</v>
      </c>
      <c r="J196" s="1773">
        <v>0.95</v>
      </c>
      <c r="K196" s="1773">
        <v>0.93333333333333335</v>
      </c>
      <c r="L196" s="1773">
        <v>0.91666666666666663</v>
      </c>
      <c r="M196" s="1773">
        <v>0.9</v>
      </c>
      <c r="N196" s="1773">
        <v>0.87</v>
      </c>
      <c r="O196" s="1773">
        <v>0.84</v>
      </c>
      <c r="P196" s="1753"/>
      <c r="Q196" s="585"/>
      <c r="R196" s="585"/>
      <c r="S196" s="585"/>
    </row>
    <row r="197" spans="2:19" ht="13.15" customHeight="1" thickBot="1" x14ac:dyDescent="0.35">
      <c r="B197" s="1750"/>
      <c r="C197" s="2170" t="s">
        <v>1612</v>
      </c>
      <c r="D197" s="2171"/>
      <c r="E197" s="1783">
        <v>0</v>
      </c>
      <c r="F197" s="1783">
        <v>0.01</v>
      </c>
      <c r="G197" s="1783">
        <v>0.02</v>
      </c>
      <c r="H197" s="1783">
        <v>0.03</v>
      </c>
      <c r="I197" s="1783">
        <v>0.04</v>
      </c>
      <c r="J197" s="1783">
        <v>0.05</v>
      </c>
      <c r="K197" s="1783">
        <v>6.6666666666666666E-2</v>
      </c>
      <c r="L197" s="1783">
        <v>8.3333333333333329E-2</v>
      </c>
      <c r="M197" s="1783">
        <v>0.1</v>
      </c>
      <c r="N197" s="1783">
        <v>0.13</v>
      </c>
      <c r="O197" s="1783">
        <v>0.16</v>
      </c>
      <c r="P197" s="1752"/>
      <c r="Q197" s="585"/>
      <c r="R197" s="585"/>
      <c r="S197" s="585"/>
    </row>
    <row r="198" spans="2:19" ht="13.15" customHeight="1" thickBot="1" x14ac:dyDescent="0.35">
      <c r="B198" s="1750"/>
      <c r="C198" s="2172" t="s">
        <v>1613</v>
      </c>
      <c r="D198" s="2173"/>
      <c r="E198" s="1775">
        <v>1</v>
      </c>
      <c r="F198" s="1775">
        <v>0.99509705823494088</v>
      </c>
      <c r="G198" s="1775">
        <v>0.99019411646988176</v>
      </c>
      <c r="H198" s="1775">
        <v>0.98529117470482275</v>
      </c>
      <c r="I198" s="1775">
        <v>0.98048829297578532</v>
      </c>
      <c r="J198" s="1775">
        <v>0.97558535121072631</v>
      </c>
      <c r="K198" s="1775">
        <v>0.97062237342405422</v>
      </c>
      <c r="L198" s="1775">
        <v>0.96555933560136065</v>
      </c>
      <c r="M198" s="1775">
        <v>0.96059635781468877</v>
      </c>
      <c r="N198" s="1775">
        <v>0.95563338002801668</v>
      </c>
      <c r="O198" s="1775">
        <v>0.9505703422053231</v>
      </c>
      <c r="P198" s="1753"/>
      <c r="Q198" s="585"/>
      <c r="R198" s="585"/>
      <c r="S198" s="585"/>
    </row>
    <row r="199" spans="2:19" ht="13.15" customHeight="1" x14ac:dyDescent="0.3">
      <c r="B199" s="1750"/>
      <c r="C199" s="1758"/>
      <c r="D199" s="1755"/>
      <c r="E199" s="1776"/>
      <c r="F199" s="1776"/>
      <c r="G199" s="1776"/>
      <c r="H199" s="1776"/>
      <c r="I199" s="1776"/>
      <c r="J199" s="1776"/>
      <c r="K199" s="1776"/>
      <c r="L199" s="1776"/>
      <c r="M199" s="1776"/>
      <c r="N199" s="1776"/>
      <c r="O199" s="1776"/>
      <c r="P199" s="1753"/>
      <c r="Q199" s="585"/>
      <c r="R199" s="585"/>
      <c r="S199" s="585"/>
    </row>
    <row r="200" spans="2:19" ht="13.15" customHeight="1" thickBot="1" x14ac:dyDescent="0.35">
      <c r="B200" s="1750"/>
      <c r="C200" s="1758"/>
      <c r="D200" s="1755"/>
      <c r="E200" s="1755"/>
      <c r="F200" s="1755"/>
      <c r="G200" s="1755"/>
      <c r="H200" s="1755"/>
      <c r="I200" s="1755"/>
      <c r="J200" s="1755"/>
      <c r="K200" s="1756"/>
      <c r="L200" s="1756"/>
      <c r="M200" s="1756"/>
      <c r="N200" s="1756"/>
      <c r="O200" s="1777"/>
      <c r="P200" s="1753"/>
      <c r="Q200" s="585"/>
      <c r="R200" s="585"/>
      <c r="S200" s="585"/>
    </row>
    <row r="201" spans="2:19" ht="13.15" customHeight="1" thickBot="1" x14ac:dyDescent="0.35">
      <c r="B201" s="1750"/>
      <c r="C201" s="2155" t="str">
        <f>C189</f>
        <v>rok</v>
      </c>
      <c r="D201" s="2156"/>
      <c r="E201" s="1780">
        <f>O189+1</f>
        <v>2031</v>
      </c>
      <c r="F201" s="1780">
        <f>E201+1</f>
        <v>2032</v>
      </c>
      <c r="G201" s="1780">
        <f t="shared" ref="G201:O201" si="71">F201+1</f>
        <v>2033</v>
      </c>
      <c r="H201" s="1780">
        <f t="shared" si="71"/>
        <v>2034</v>
      </c>
      <c r="I201" s="1780">
        <f t="shared" si="71"/>
        <v>2035</v>
      </c>
      <c r="J201" s="1780">
        <f t="shared" si="71"/>
        <v>2036</v>
      </c>
      <c r="K201" s="1780">
        <f t="shared" si="71"/>
        <v>2037</v>
      </c>
      <c r="L201" s="1780">
        <f t="shared" si="71"/>
        <v>2038</v>
      </c>
      <c r="M201" s="1780">
        <f t="shared" si="71"/>
        <v>2039</v>
      </c>
      <c r="N201" s="1780">
        <f t="shared" si="71"/>
        <v>2040</v>
      </c>
      <c r="O201" s="1780">
        <f t="shared" si="71"/>
        <v>2041</v>
      </c>
      <c r="P201" s="1753"/>
      <c r="Q201" s="585"/>
      <c r="R201" s="585"/>
      <c r="S201" s="585"/>
    </row>
    <row r="202" spans="2:19" ht="13.15" customHeight="1" x14ac:dyDescent="0.3">
      <c r="B202" s="1750"/>
      <c r="C202" s="2163" t="str">
        <f>C190</f>
        <v>Automobil - benzín</v>
      </c>
      <c r="D202" s="2164"/>
      <c r="E202" s="1773">
        <v>0.33816033229491177</v>
      </c>
      <c r="F202" s="1773">
        <v>0.33082014537902382</v>
      </c>
      <c r="G202" s="1773">
        <v>0.32347995846313604</v>
      </c>
      <c r="H202" s="1773">
        <v>0.31613977154724821</v>
      </c>
      <c r="I202" s="1773">
        <v>0.30879958463136031</v>
      </c>
      <c r="J202" s="1773">
        <v>0.30063582554517132</v>
      </c>
      <c r="K202" s="1773">
        <v>0.29247206645898233</v>
      </c>
      <c r="L202" s="1773">
        <v>0.28430830737279333</v>
      </c>
      <c r="M202" s="1773">
        <v>0.27614454828660434</v>
      </c>
      <c r="N202" s="1773">
        <v>0.26798078920041535</v>
      </c>
      <c r="O202" s="1773">
        <v>0.26124029075804778</v>
      </c>
      <c r="P202" s="1753"/>
      <c r="Q202" s="585"/>
      <c r="R202" s="585"/>
      <c r="S202" s="585"/>
    </row>
    <row r="203" spans="2:19" ht="13.15" customHeight="1" x14ac:dyDescent="0.3">
      <c r="B203" s="1750"/>
      <c r="C203" s="2159" t="str">
        <f t="shared" ref="C203:C210" si="72">C191</f>
        <v>Automobil - diesel</v>
      </c>
      <c r="D203" s="2160"/>
      <c r="E203" s="1781">
        <v>0.50767966770508832</v>
      </c>
      <c r="F203" s="1781">
        <v>0.49665985462097606</v>
      </c>
      <c r="G203" s="1781">
        <v>0.48564004153686402</v>
      </c>
      <c r="H203" s="1781">
        <v>0.47462022845275181</v>
      </c>
      <c r="I203" s="1781">
        <v>0.46360041536863966</v>
      </c>
      <c r="J203" s="1781">
        <v>0.45134417445482855</v>
      </c>
      <c r="K203" s="1781">
        <v>0.43908793354101766</v>
      </c>
      <c r="L203" s="1781">
        <v>0.42683169262720655</v>
      </c>
      <c r="M203" s="1781">
        <v>0.41457545171339566</v>
      </c>
      <c r="N203" s="1781">
        <v>0.40231921079958455</v>
      </c>
      <c r="O203" s="1781">
        <v>0.39219970924195224</v>
      </c>
      <c r="P203" s="1753"/>
      <c r="Q203" s="585"/>
      <c r="R203" s="585"/>
      <c r="S203" s="585"/>
    </row>
    <row r="204" spans="2:19" ht="13.15" customHeight="1" x14ac:dyDescent="0.3">
      <c r="B204" s="1750"/>
      <c r="C204" s="2159" t="str">
        <f t="shared" si="72"/>
        <v>Automobil - LPG</v>
      </c>
      <c r="D204" s="2160"/>
      <c r="E204" s="1774">
        <v>6.8000000000000005E-3</v>
      </c>
      <c r="F204" s="1774">
        <v>5.6000000000000008E-3</v>
      </c>
      <c r="G204" s="1774">
        <v>4.4000000000000011E-3</v>
      </c>
      <c r="H204" s="1774">
        <v>3.200000000000001E-3</v>
      </c>
      <c r="I204" s="1774">
        <v>2E-3</v>
      </c>
      <c r="J204" s="1774">
        <v>1.6000000000000001E-3</v>
      </c>
      <c r="K204" s="1774">
        <v>1.2000000000000001E-3</v>
      </c>
      <c r="L204" s="1774">
        <v>8.0000000000000015E-4</v>
      </c>
      <c r="M204" s="1774">
        <v>4.0000000000000013E-4</v>
      </c>
      <c r="N204" s="1774">
        <v>0</v>
      </c>
      <c r="O204" s="1774">
        <v>0</v>
      </c>
      <c r="P204" s="1753"/>
      <c r="Q204" s="585"/>
      <c r="R204" s="585"/>
      <c r="S204" s="585"/>
    </row>
    <row r="205" spans="2:19" ht="13.15" customHeight="1" x14ac:dyDescent="0.3">
      <c r="B205" s="1750"/>
      <c r="C205" s="2159" t="str">
        <f t="shared" si="72"/>
        <v>Automobil - CNG</v>
      </c>
      <c r="D205" s="2160"/>
      <c r="E205" s="1781">
        <v>1.84E-2</v>
      </c>
      <c r="F205" s="1781">
        <v>1.8800000000000001E-2</v>
      </c>
      <c r="G205" s="1781">
        <v>1.9200000000000002E-2</v>
      </c>
      <c r="H205" s="1781">
        <v>1.9600000000000003E-2</v>
      </c>
      <c r="I205" s="1781">
        <v>0.02</v>
      </c>
      <c r="J205" s="1781">
        <v>2.1000000000000001E-2</v>
      </c>
      <c r="K205" s="1781">
        <v>2.2000000000000002E-2</v>
      </c>
      <c r="L205" s="1781">
        <v>2.3000000000000003E-2</v>
      </c>
      <c r="M205" s="1781">
        <v>2.4000000000000004E-2</v>
      </c>
      <c r="N205" s="1781">
        <v>2.5000000000000001E-2</v>
      </c>
      <c r="O205" s="1781">
        <v>2.4200000000000003E-2</v>
      </c>
      <c r="P205" s="1753"/>
      <c r="Q205" s="585"/>
      <c r="R205" s="585"/>
      <c r="S205" s="585"/>
    </row>
    <row r="206" spans="2:19" ht="13.15" customHeight="1" x14ac:dyDescent="0.3">
      <c r="B206" s="1750"/>
      <c r="C206" s="2159" t="str">
        <f t="shared" si="72"/>
        <v>Automobil - hybrid</v>
      </c>
      <c r="D206" s="2160"/>
      <c r="E206" s="1774">
        <v>4.3380000000000009E-2</v>
      </c>
      <c r="F206" s="1774">
        <v>4.9759999999999999E-2</v>
      </c>
      <c r="G206" s="1774">
        <v>5.6139999999999989E-2</v>
      </c>
      <c r="H206" s="1774">
        <v>6.2519999999999978E-2</v>
      </c>
      <c r="I206" s="1774">
        <v>6.8899999999999961E-2</v>
      </c>
      <c r="J206" s="1774">
        <v>7.3979999999999962E-2</v>
      </c>
      <c r="K206" s="1774">
        <v>7.9059999999999964E-2</v>
      </c>
      <c r="L206" s="1774">
        <v>8.4139999999999965E-2</v>
      </c>
      <c r="M206" s="1774">
        <v>8.9219999999999966E-2</v>
      </c>
      <c r="N206" s="1774">
        <v>9.4299999999999995E-2</v>
      </c>
      <c r="O206" s="1774">
        <v>9.6599999999999991E-2</v>
      </c>
      <c r="P206" s="1753"/>
      <c r="Q206" s="585"/>
      <c r="R206" s="585"/>
      <c r="S206" s="585"/>
    </row>
    <row r="207" spans="2:19" ht="13.15" customHeight="1" thickBot="1" x14ac:dyDescent="0.35">
      <c r="B207" s="1750"/>
      <c r="C207" s="2161" t="str">
        <f t="shared" si="72"/>
        <v>Automobil - elektrický</v>
      </c>
      <c r="D207" s="2162"/>
      <c r="E207" s="1782">
        <v>8.5579999999999989E-2</v>
      </c>
      <c r="F207" s="1782">
        <v>9.8360000000000003E-2</v>
      </c>
      <c r="G207" s="1782">
        <v>0.11114000000000002</v>
      </c>
      <c r="H207" s="1782">
        <v>0.12392000000000003</v>
      </c>
      <c r="I207" s="1782">
        <v>0.13670000000000004</v>
      </c>
      <c r="J207" s="1782">
        <v>0.15144000000000005</v>
      </c>
      <c r="K207" s="1782">
        <v>0.16618000000000005</v>
      </c>
      <c r="L207" s="1782">
        <v>0.18092000000000005</v>
      </c>
      <c r="M207" s="1782">
        <v>0.19566000000000006</v>
      </c>
      <c r="N207" s="1782">
        <v>0.21040000000000003</v>
      </c>
      <c r="O207" s="1782">
        <v>0.22576000000000002</v>
      </c>
      <c r="P207" s="1753"/>
      <c r="Q207" s="585"/>
      <c r="R207" s="585"/>
      <c r="S207" s="585"/>
    </row>
    <row r="208" spans="2:19" ht="13.15" customHeight="1" x14ac:dyDescent="0.3">
      <c r="B208" s="1750"/>
      <c r="C208" s="2157" t="str">
        <f t="shared" si="72"/>
        <v>BUS městský - spalovací motor</v>
      </c>
      <c r="D208" s="2158"/>
      <c r="E208" s="1773">
        <v>0.81</v>
      </c>
      <c r="F208" s="1773">
        <v>0.78</v>
      </c>
      <c r="G208" s="1773">
        <v>0.75</v>
      </c>
      <c r="H208" s="1773">
        <v>0.7</v>
      </c>
      <c r="I208" s="1773">
        <v>0.65</v>
      </c>
      <c r="J208" s="1773">
        <v>0.64</v>
      </c>
      <c r="K208" s="1773">
        <v>0.63</v>
      </c>
      <c r="L208" s="1773">
        <v>0.62</v>
      </c>
      <c r="M208" s="1773">
        <v>0.61</v>
      </c>
      <c r="N208" s="1773">
        <v>0.6</v>
      </c>
      <c r="O208" s="1773">
        <v>0.59</v>
      </c>
      <c r="P208" s="1753"/>
      <c r="Q208" s="585"/>
      <c r="R208" s="585"/>
      <c r="S208" s="585"/>
    </row>
    <row r="209" spans="2:19" ht="13.15" customHeight="1" thickBot="1" x14ac:dyDescent="0.35">
      <c r="B209" s="1750"/>
      <c r="C209" s="2161" t="str">
        <f t="shared" si="72"/>
        <v>BUS městský - elektrický</v>
      </c>
      <c r="D209" s="2162"/>
      <c r="E209" s="1783">
        <v>0.19</v>
      </c>
      <c r="F209" s="1783">
        <v>0.22</v>
      </c>
      <c r="G209" s="1783">
        <v>0.25</v>
      </c>
      <c r="H209" s="1783">
        <v>0.3</v>
      </c>
      <c r="I209" s="1783">
        <v>0.35</v>
      </c>
      <c r="J209" s="1783">
        <v>0.36</v>
      </c>
      <c r="K209" s="1783">
        <v>0.37</v>
      </c>
      <c r="L209" s="1783">
        <v>0.38</v>
      </c>
      <c r="M209" s="1783">
        <v>0.39</v>
      </c>
      <c r="N209" s="1783">
        <v>0.4</v>
      </c>
      <c r="O209" s="1783">
        <v>0.41000000000000003</v>
      </c>
      <c r="P209" s="1753"/>
      <c r="Q209" s="585"/>
      <c r="R209" s="585"/>
      <c r="S209" s="585"/>
    </row>
    <row r="210" spans="2:19" ht="13.15" customHeight="1" thickBot="1" x14ac:dyDescent="0.35">
      <c r="B210" s="1750"/>
      <c r="C210" s="2152" t="str">
        <f t="shared" si="72"/>
        <v>LNV, TNV, BUS dálkový</v>
      </c>
      <c r="D210" s="2153"/>
      <c r="E210" s="1775">
        <v>0.94264558735241133</v>
      </c>
      <c r="F210" s="1775">
        <v>0.93462077246347808</v>
      </c>
      <c r="G210" s="1775">
        <v>0.9265959575745446</v>
      </c>
      <c r="H210" s="1775">
        <v>0.91857114268561124</v>
      </c>
      <c r="I210" s="1775">
        <v>0.91054632779667799</v>
      </c>
      <c r="J210" s="1775">
        <v>0.90254152491494877</v>
      </c>
      <c r="K210" s="1775">
        <v>0.89453672203321988</v>
      </c>
      <c r="L210" s="1775">
        <v>0.88653191915149088</v>
      </c>
      <c r="M210" s="1775">
        <v>0.87852711626976177</v>
      </c>
      <c r="N210" s="1775">
        <v>0.87052231338803276</v>
      </c>
      <c r="O210" s="1775">
        <v>0.86147688613167905</v>
      </c>
      <c r="P210" s="1753"/>
      <c r="Q210" s="585"/>
      <c r="R210" s="585"/>
      <c r="S210" s="585"/>
    </row>
    <row r="211" spans="2:19" ht="13.15" customHeight="1" x14ac:dyDescent="0.3">
      <c r="B211" s="1750"/>
      <c r="C211" s="1785"/>
      <c r="D211" s="1786"/>
      <c r="E211" s="1755"/>
      <c r="F211" s="1755"/>
      <c r="G211" s="1755"/>
      <c r="H211" s="1755"/>
      <c r="I211" s="1755"/>
      <c r="J211" s="1755"/>
      <c r="K211" s="1756"/>
      <c r="L211" s="1756"/>
      <c r="M211" s="1756"/>
      <c r="N211" s="1756"/>
      <c r="O211" s="1777"/>
      <c r="P211" s="1753"/>
      <c r="Q211" s="585"/>
      <c r="R211" s="585"/>
      <c r="S211" s="585"/>
    </row>
    <row r="212" spans="2:19" ht="13.15" customHeight="1" thickBot="1" x14ac:dyDescent="0.35">
      <c r="B212" s="1750"/>
      <c r="C212" s="1785"/>
      <c r="D212" s="1786"/>
      <c r="E212" s="1755"/>
      <c r="F212" s="1755"/>
      <c r="G212" s="1755"/>
      <c r="H212" s="1755"/>
      <c r="I212" s="1755"/>
      <c r="J212" s="1755"/>
      <c r="K212" s="1756"/>
      <c r="L212" s="1756"/>
      <c r="M212" s="1756"/>
      <c r="N212" s="1756"/>
      <c r="O212" s="1777"/>
      <c r="P212" s="1753"/>
      <c r="Q212" s="585"/>
      <c r="R212" s="585"/>
      <c r="S212" s="585"/>
    </row>
    <row r="213" spans="2:19" ht="13.15" customHeight="1" thickBot="1" x14ac:dyDescent="0.35">
      <c r="B213" s="1750"/>
      <c r="C213" s="2155" t="str">
        <f>C201</f>
        <v>rok</v>
      </c>
      <c r="D213" s="2156"/>
      <c r="E213" s="1780">
        <f>O201+1</f>
        <v>2042</v>
      </c>
      <c r="F213" s="1780">
        <f>E213+1</f>
        <v>2043</v>
      </c>
      <c r="G213" s="1780">
        <f t="shared" ref="G213:O213" si="73">F213+1</f>
        <v>2044</v>
      </c>
      <c r="H213" s="1780">
        <f t="shared" si="73"/>
        <v>2045</v>
      </c>
      <c r="I213" s="1780">
        <f t="shared" si="73"/>
        <v>2046</v>
      </c>
      <c r="J213" s="1780">
        <f t="shared" si="73"/>
        <v>2047</v>
      </c>
      <c r="K213" s="1780">
        <f t="shared" si="73"/>
        <v>2048</v>
      </c>
      <c r="L213" s="1780">
        <f t="shared" si="73"/>
        <v>2049</v>
      </c>
      <c r="M213" s="1780">
        <f t="shared" si="73"/>
        <v>2050</v>
      </c>
      <c r="N213" s="1780">
        <f t="shared" si="73"/>
        <v>2051</v>
      </c>
      <c r="O213" s="1780">
        <f t="shared" si="73"/>
        <v>2052</v>
      </c>
      <c r="P213" s="1778" t="s">
        <v>1603</v>
      </c>
      <c r="Q213" s="585"/>
      <c r="R213" s="585"/>
      <c r="S213" s="585"/>
    </row>
    <row r="214" spans="2:19" ht="13.15" customHeight="1" x14ac:dyDescent="0.3">
      <c r="B214" s="1750"/>
      <c r="C214" s="2157" t="str">
        <f t="shared" ref="C214:C222" si="74">C202</f>
        <v>Automobil - benzín</v>
      </c>
      <c r="D214" s="2158"/>
      <c r="E214" s="1773">
        <v>0.25449979231568015</v>
      </c>
      <c r="F214" s="1773">
        <v>0.24775929387331258</v>
      </c>
      <c r="G214" s="1773">
        <v>0.24101879543094495</v>
      </c>
      <c r="H214" s="1773">
        <v>0.23427829698857736</v>
      </c>
      <c r="I214" s="1773">
        <v>0.22741786085150573</v>
      </c>
      <c r="J214" s="1773">
        <v>0.22055742471443404</v>
      </c>
      <c r="K214" s="1773">
        <v>0.21369698857736241</v>
      </c>
      <c r="L214" s="1773">
        <v>0.20683655244029078</v>
      </c>
      <c r="M214" s="1773">
        <v>0.1999761163032191</v>
      </c>
      <c r="N214" s="1773">
        <v>0.1999761163032191</v>
      </c>
      <c r="O214" s="1773">
        <v>0.1999761163032191</v>
      </c>
      <c r="P214" s="1753"/>
      <c r="Q214" s="585"/>
      <c r="R214" s="585"/>
      <c r="S214" s="585"/>
    </row>
    <row r="215" spans="2:19" ht="13.15" customHeight="1" x14ac:dyDescent="0.3">
      <c r="B215" s="1750"/>
      <c r="C215" s="2159" t="str">
        <f t="shared" si="74"/>
        <v>Automobil - diesel</v>
      </c>
      <c r="D215" s="2160"/>
      <c r="E215" s="1781">
        <v>0.38208020768431977</v>
      </c>
      <c r="F215" s="1781">
        <v>0.37196070612668747</v>
      </c>
      <c r="G215" s="1781">
        <v>0.361841204569055</v>
      </c>
      <c r="H215" s="1781">
        <v>0.35172170301142264</v>
      </c>
      <c r="I215" s="1781">
        <v>0.34142213914849429</v>
      </c>
      <c r="J215" s="1781">
        <v>0.33112257528556588</v>
      </c>
      <c r="K215" s="1781">
        <v>0.32082301142263758</v>
      </c>
      <c r="L215" s="1781">
        <v>0.31052344755970929</v>
      </c>
      <c r="M215" s="1781">
        <v>0.30022388369678088</v>
      </c>
      <c r="N215" s="1781">
        <v>0.30022388369678088</v>
      </c>
      <c r="O215" s="1781">
        <v>0.30022388369678088</v>
      </c>
      <c r="P215" s="1753"/>
      <c r="Q215" s="585"/>
      <c r="R215" s="585"/>
      <c r="S215" s="585"/>
    </row>
    <row r="216" spans="2:19" ht="13.15" customHeight="1" x14ac:dyDescent="0.3">
      <c r="B216" s="1750"/>
      <c r="C216" s="2159" t="str">
        <f t="shared" si="74"/>
        <v>Automobil - LPG</v>
      </c>
      <c r="D216" s="2160"/>
      <c r="E216" s="1774">
        <v>0</v>
      </c>
      <c r="F216" s="1774">
        <v>0</v>
      </c>
      <c r="G216" s="1774">
        <v>0</v>
      </c>
      <c r="H216" s="1774">
        <v>0</v>
      </c>
      <c r="I216" s="1774">
        <v>0</v>
      </c>
      <c r="J216" s="1774">
        <v>0</v>
      </c>
      <c r="K216" s="1774">
        <v>0</v>
      </c>
      <c r="L216" s="1774">
        <v>0</v>
      </c>
      <c r="M216" s="1774">
        <v>0</v>
      </c>
      <c r="N216" s="1774">
        <v>0</v>
      </c>
      <c r="O216" s="1774">
        <v>0</v>
      </c>
      <c r="P216" s="1753"/>
      <c r="Q216" s="585"/>
      <c r="R216" s="585"/>
      <c r="S216" s="585"/>
    </row>
    <row r="217" spans="2:19" ht="13.15" customHeight="1" x14ac:dyDescent="0.3">
      <c r="B217" s="1750"/>
      <c r="C217" s="2159" t="str">
        <f t="shared" si="74"/>
        <v>Automobil - CNG</v>
      </c>
      <c r="D217" s="2160"/>
      <c r="E217" s="1781">
        <v>2.3400000000000004E-2</v>
      </c>
      <c r="F217" s="1781">
        <v>2.2600000000000006E-2</v>
      </c>
      <c r="G217" s="1781">
        <v>2.1800000000000007E-2</v>
      </c>
      <c r="H217" s="1781">
        <v>2.1000000000000001E-2</v>
      </c>
      <c r="I217" s="1781">
        <v>2.0400000000000001E-2</v>
      </c>
      <c r="J217" s="1781">
        <v>1.9800000000000002E-2</v>
      </c>
      <c r="K217" s="1781">
        <v>1.9200000000000002E-2</v>
      </c>
      <c r="L217" s="1781">
        <v>1.8600000000000002E-2</v>
      </c>
      <c r="M217" s="1781">
        <v>1.7999999999999999E-2</v>
      </c>
      <c r="N217" s="1781">
        <v>1.7999999999999999E-2</v>
      </c>
      <c r="O217" s="1781">
        <v>1.7999999999999999E-2</v>
      </c>
      <c r="P217" s="1753"/>
      <c r="Q217" s="585"/>
      <c r="R217" s="585"/>
      <c r="S217" s="585"/>
    </row>
    <row r="218" spans="2:19" ht="13.15" customHeight="1" x14ac:dyDescent="0.3">
      <c r="B218" s="1750"/>
      <c r="C218" s="2159" t="str">
        <f t="shared" si="74"/>
        <v>Automobil - hybrid</v>
      </c>
      <c r="D218" s="2160"/>
      <c r="E218" s="1774">
        <v>9.8899999999999988E-2</v>
      </c>
      <c r="F218" s="1774">
        <v>0.10119999999999998</v>
      </c>
      <c r="G218" s="1774">
        <v>0.10349999999999998</v>
      </c>
      <c r="H218" s="1774">
        <v>0.10580000000000001</v>
      </c>
      <c r="I218" s="1774">
        <v>0.1066</v>
      </c>
      <c r="J218" s="1774">
        <v>0.1074</v>
      </c>
      <c r="K218" s="1774">
        <v>0.10819999999999999</v>
      </c>
      <c r="L218" s="1774">
        <v>0.10899999999999999</v>
      </c>
      <c r="M218" s="1774">
        <v>0.10980000000000001</v>
      </c>
      <c r="N218" s="1774">
        <v>0.10980000000000001</v>
      </c>
      <c r="O218" s="1774">
        <v>0.10980000000000001</v>
      </c>
      <c r="P218" s="1753"/>
      <c r="Q218" s="585"/>
      <c r="R218" s="585"/>
      <c r="S218" s="585"/>
    </row>
    <row r="219" spans="2:19" ht="13.15" customHeight="1" thickBot="1" x14ac:dyDescent="0.35">
      <c r="B219" s="1750"/>
      <c r="C219" s="2161" t="str">
        <f t="shared" si="74"/>
        <v>Automobil - elektrický</v>
      </c>
      <c r="D219" s="2162"/>
      <c r="E219" s="1782">
        <v>0.24112</v>
      </c>
      <c r="F219" s="1782">
        <v>0.25647999999999999</v>
      </c>
      <c r="G219" s="1782">
        <v>0.27183999999999997</v>
      </c>
      <c r="H219" s="1782">
        <v>0.28720000000000001</v>
      </c>
      <c r="I219" s="1782">
        <v>0.30415999999999999</v>
      </c>
      <c r="J219" s="1782">
        <v>0.32111999999999996</v>
      </c>
      <c r="K219" s="1782">
        <v>0.33807999999999994</v>
      </c>
      <c r="L219" s="1782">
        <v>0.35503999999999991</v>
      </c>
      <c r="M219" s="1782">
        <v>0.372</v>
      </c>
      <c r="N219" s="1782">
        <v>0.372</v>
      </c>
      <c r="O219" s="1782">
        <v>0.372</v>
      </c>
      <c r="P219" s="1753"/>
      <c r="Q219" s="585"/>
      <c r="R219" s="585"/>
      <c r="S219" s="585"/>
    </row>
    <row r="220" spans="2:19" ht="13.15" customHeight="1" x14ac:dyDescent="0.3">
      <c r="B220" s="1750"/>
      <c r="C220" s="2157" t="str">
        <f t="shared" si="74"/>
        <v>BUS městský - spalovací motor</v>
      </c>
      <c r="D220" s="2158"/>
      <c r="E220" s="1773">
        <v>0.57999999999999996</v>
      </c>
      <c r="F220" s="1773">
        <v>0.56999999999999995</v>
      </c>
      <c r="G220" s="1773">
        <v>0.55999999999999994</v>
      </c>
      <c r="H220" s="1773">
        <v>0.54999999999999993</v>
      </c>
      <c r="I220" s="1773">
        <v>0.53999999999999992</v>
      </c>
      <c r="J220" s="1773">
        <v>0.52999999999999992</v>
      </c>
      <c r="K220" s="1773">
        <v>0.51999999999999991</v>
      </c>
      <c r="L220" s="1773">
        <v>0.5099999999999999</v>
      </c>
      <c r="M220" s="1773">
        <v>0.49999999999999989</v>
      </c>
      <c r="N220" s="1773">
        <v>0.5</v>
      </c>
      <c r="O220" s="1773">
        <v>0.5</v>
      </c>
      <c r="P220" s="1753"/>
      <c r="Q220" s="585"/>
      <c r="R220" s="585"/>
      <c r="S220" s="585"/>
    </row>
    <row r="221" spans="2:19" ht="13.15" customHeight="1" thickBot="1" x14ac:dyDescent="0.35">
      <c r="B221" s="1750"/>
      <c r="C221" s="2161" t="str">
        <f t="shared" si="74"/>
        <v>BUS městský - elektrický</v>
      </c>
      <c r="D221" s="2162"/>
      <c r="E221" s="1783">
        <v>0.42000000000000004</v>
      </c>
      <c r="F221" s="1783">
        <v>0.43000000000000005</v>
      </c>
      <c r="G221" s="1783">
        <v>0.44000000000000006</v>
      </c>
      <c r="H221" s="1783">
        <v>0.45000000000000007</v>
      </c>
      <c r="I221" s="1783">
        <v>0.46000000000000008</v>
      </c>
      <c r="J221" s="1783">
        <v>0.47000000000000008</v>
      </c>
      <c r="K221" s="1783">
        <v>0.48000000000000009</v>
      </c>
      <c r="L221" s="1783">
        <v>0.4900000000000001</v>
      </c>
      <c r="M221" s="1783">
        <v>0.50000000000000011</v>
      </c>
      <c r="N221" s="1783">
        <v>0.5</v>
      </c>
      <c r="O221" s="1783">
        <v>0.5</v>
      </c>
      <c r="P221" s="1753"/>
      <c r="Q221" s="585"/>
      <c r="R221" s="585"/>
      <c r="S221" s="585"/>
    </row>
    <row r="222" spans="2:19" ht="13.15" customHeight="1" thickBot="1" x14ac:dyDescent="0.35">
      <c r="B222" s="1750"/>
      <c r="C222" s="2152" t="str">
        <f t="shared" si="74"/>
        <v>LNV, TNV, BUS dálkový</v>
      </c>
      <c r="D222" s="2153"/>
      <c r="E222" s="1775">
        <v>0.85253151891134671</v>
      </c>
      <c r="F222" s="1775">
        <v>0.843486091654993</v>
      </c>
      <c r="G222" s="1775">
        <v>0.83444066439863918</v>
      </c>
      <c r="H222" s="1775">
        <v>0.82549529717830683</v>
      </c>
      <c r="I222" s="1775">
        <v>0.82109265559335598</v>
      </c>
      <c r="J222" s="1775">
        <v>0.81669001400840502</v>
      </c>
      <c r="K222" s="1775">
        <v>0.81228737242345406</v>
      </c>
      <c r="L222" s="1775">
        <v>0.8078847308385031</v>
      </c>
      <c r="M222" s="1775">
        <v>0.80348208925355213</v>
      </c>
      <c r="N222" s="1775">
        <v>0.80348208925355213</v>
      </c>
      <c r="O222" s="1775">
        <v>0.80348208925355213</v>
      </c>
      <c r="P222" s="1753"/>
      <c r="Q222" s="585"/>
      <c r="R222" s="585"/>
      <c r="S222" s="585"/>
    </row>
    <row r="223" spans="2:19" ht="13.15" customHeight="1" x14ac:dyDescent="0.3">
      <c r="B223" s="1750"/>
      <c r="C223" s="1758"/>
      <c r="D223" s="1755"/>
      <c r="E223" s="1755"/>
      <c r="F223" s="1755"/>
      <c r="G223" s="1755"/>
      <c r="H223" s="1755"/>
      <c r="I223" s="1755"/>
      <c r="J223" s="1755"/>
      <c r="K223" s="1756"/>
      <c r="L223" s="1756"/>
      <c r="M223" s="1756"/>
      <c r="N223" s="1756"/>
      <c r="O223" s="1777"/>
      <c r="P223" s="1753"/>
      <c r="Q223" s="585"/>
      <c r="R223" s="585"/>
      <c r="S223" s="585"/>
    </row>
    <row r="224" spans="2:19" ht="13.15" customHeight="1" x14ac:dyDescent="0.3">
      <c r="B224" s="1750"/>
      <c r="C224" s="2154" t="s">
        <v>1627</v>
      </c>
      <c r="D224" s="2154"/>
      <c r="E224" s="2154"/>
      <c r="F224" s="2154"/>
      <c r="G224" s="2154"/>
      <c r="H224" s="2154"/>
      <c r="I224" s="2154"/>
      <c r="J224" s="2154"/>
      <c r="K224" s="2154"/>
      <c r="L224" s="2154"/>
      <c r="M224" s="2154"/>
      <c r="N224" s="2154"/>
      <c r="O224" s="2154"/>
      <c r="P224" s="1753"/>
      <c r="Q224" s="585"/>
      <c r="R224" s="585"/>
      <c r="S224" s="585"/>
    </row>
    <row r="225" spans="2:42" ht="13.15" customHeight="1" x14ac:dyDescent="0.3">
      <c r="B225" s="1750"/>
      <c r="C225" s="1779" t="s">
        <v>1604</v>
      </c>
      <c r="D225" s="1779"/>
      <c r="E225" s="1779"/>
      <c r="F225" s="1779"/>
      <c r="G225" s="1779"/>
      <c r="H225" s="1779"/>
      <c r="I225" s="1779"/>
      <c r="J225" s="1779"/>
      <c r="K225" s="1779"/>
      <c r="L225" s="1779"/>
      <c r="M225" s="1779"/>
      <c r="N225" s="1779"/>
      <c r="O225" s="1779"/>
      <c r="P225" s="1753"/>
      <c r="Q225" s="585"/>
      <c r="R225" s="585"/>
      <c r="S225" s="585"/>
    </row>
    <row r="226" spans="2:42" ht="13.15" customHeight="1" thickBot="1" x14ac:dyDescent="0.35">
      <c r="B226" s="1760"/>
      <c r="C226" s="1761"/>
      <c r="D226" s="1761"/>
      <c r="E226" s="1761"/>
      <c r="F226" s="1761"/>
      <c r="G226" s="1761"/>
      <c r="H226" s="1761"/>
      <c r="I226" s="1761"/>
      <c r="J226" s="1761"/>
      <c r="K226" s="1761"/>
      <c r="L226" s="1761"/>
      <c r="M226" s="1761"/>
      <c r="N226" s="1761"/>
      <c r="O226" s="1761"/>
      <c r="P226" s="1762"/>
      <c r="Q226" s="585"/>
      <c r="R226" s="585"/>
      <c r="S226" s="585"/>
    </row>
    <row r="227" spans="2:42" ht="13.15" customHeight="1" thickBot="1" x14ac:dyDescent="0.35">
      <c r="B227" s="18"/>
      <c r="C227" s="18"/>
      <c r="D227" s="18"/>
      <c r="E227" s="18"/>
      <c r="F227" s="18"/>
      <c r="G227" s="18"/>
      <c r="H227" s="18"/>
      <c r="I227" s="18"/>
      <c r="J227" s="18"/>
      <c r="K227" s="18"/>
      <c r="L227" s="18"/>
      <c r="M227" s="18"/>
      <c r="N227" s="18"/>
      <c r="O227" s="18"/>
      <c r="P227" s="18"/>
      <c r="Q227" s="585"/>
      <c r="R227" s="585"/>
      <c r="S227" s="585"/>
    </row>
    <row r="228" spans="2:42" ht="13.15" customHeight="1" thickBot="1" x14ac:dyDescent="0.35">
      <c r="B228" s="2067" t="s">
        <v>1621</v>
      </c>
      <c r="C228" s="2175" t="s">
        <v>1623</v>
      </c>
      <c r="D228" s="2175"/>
      <c r="E228" s="2175"/>
      <c r="F228" s="2175"/>
      <c r="G228" s="2175"/>
      <c r="H228" s="2175"/>
      <c r="I228" s="2175"/>
      <c r="J228" s="2175"/>
      <c r="K228" s="2175"/>
      <c r="L228" s="2175"/>
      <c r="M228" s="2175"/>
      <c r="N228" s="2175"/>
      <c r="O228" s="2175"/>
      <c r="P228" s="2175"/>
      <c r="Q228" s="2175"/>
      <c r="R228" s="2176"/>
      <c r="S228" s="585"/>
    </row>
    <row r="229" spans="2:42" ht="13.15" customHeight="1" thickBot="1" x14ac:dyDescent="0.35">
      <c r="B229" s="2068"/>
      <c r="C229" s="1727" t="s">
        <v>1616</v>
      </c>
      <c r="D229" s="1410">
        <v>2022</v>
      </c>
      <c r="E229" s="1411">
        <v>2023</v>
      </c>
      <c r="F229" s="1411">
        <v>2024</v>
      </c>
      <c r="G229" s="1411">
        <v>2025</v>
      </c>
      <c r="H229" s="1411">
        <v>2026</v>
      </c>
      <c r="I229" s="1411">
        <v>2027</v>
      </c>
      <c r="J229" s="1411">
        <v>2028</v>
      </c>
      <c r="K229" s="1411">
        <v>2029</v>
      </c>
      <c r="L229" s="1411">
        <v>2030</v>
      </c>
      <c r="M229" s="1411">
        <v>2031</v>
      </c>
      <c r="N229" s="1411">
        <v>2032</v>
      </c>
      <c r="O229" s="1411">
        <v>2033</v>
      </c>
      <c r="P229" s="1411">
        <v>2034</v>
      </c>
      <c r="Q229" s="1411">
        <v>2035</v>
      </c>
      <c r="R229" s="1412">
        <v>2036</v>
      </c>
      <c r="S229" s="1770">
        <v>2037</v>
      </c>
      <c r="T229" s="1412">
        <v>2038</v>
      </c>
      <c r="U229" s="1411">
        <v>2039</v>
      </c>
      <c r="V229" s="1412">
        <v>2040</v>
      </c>
      <c r="W229" s="1411">
        <v>2041</v>
      </c>
      <c r="X229" s="1412">
        <v>2042</v>
      </c>
      <c r="Y229" s="1411">
        <v>2043</v>
      </c>
      <c r="Z229" s="1412">
        <v>2044</v>
      </c>
      <c r="AA229" s="1411">
        <v>2045</v>
      </c>
      <c r="AB229" s="1412">
        <v>2046</v>
      </c>
      <c r="AC229" s="1411">
        <v>2047</v>
      </c>
      <c r="AD229" s="1412">
        <v>2048</v>
      </c>
      <c r="AE229" s="1411">
        <v>2049</v>
      </c>
      <c r="AF229" s="1412">
        <v>2050</v>
      </c>
      <c r="AG229" s="1411">
        <v>2051</v>
      </c>
      <c r="AH229" s="1412">
        <v>2052</v>
      </c>
      <c r="AI229" s="1411">
        <v>2053</v>
      </c>
      <c r="AJ229" s="1412">
        <v>2054</v>
      </c>
      <c r="AK229" s="1411">
        <v>2055</v>
      </c>
      <c r="AL229" s="1412">
        <v>2056</v>
      </c>
      <c r="AM229" s="1411">
        <v>2057</v>
      </c>
      <c r="AN229" s="1412">
        <v>2058</v>
      </c>
      <c r="AO229" s="1411">
        <v>2059</v>
      </c>
      <c r="AP229" s="1412">
        <v>2060</v>
      </c>
    </row>
    <row r="230" spans="2:42" ht="13.15" customHeight="1" thickBot="1" x14ac:dyDescent="0.35">
      <c r="B230" s="2068"/>
      <c r="C230" s="1730" t="str">
        <f t="shared" ref="C230:C235" si="75">C159</f>
        <v>MHD, BUS</v>
      </c>
      <c r="D230" s="1765">
        <v>1</v>
      </c>
      <c r="E230" s="1765">
        <f t="shared" ref="E230:L230" si="76">H196+$H$159/$E$159*H197*E231</f>
        <v>1.0070138347966424</v>
      </c>
      <c r="F230" s="1765">
        <f t="shared" si="76"/>
        <v>1.0088659724507525</v>
      </c>
      <c r="G230" s="1765">
        <f t="shared" si="76"/>
        <v>1.0104752064658107</v>
      </c>
      <c r="H230" s="1765">
        <f t="shared" si="76"/>
        <v>1.0131572631575745</v>
      </c>
      <c r="I230" s="1765">
        <f t="shared" si="76"/>
        <v>1.0154344804509179</v>
      </c>
      <c r="J230" s="1765">
        <f t="shared" si="76"/>
        <v>1.0173068583458418</v>
      </c>
      <c r="K230" s="1765">
        <f t="shared" si="76"/>
        <v>1.0209200421957563</v>
      </c>
      <c r="L230" s="1765">
        <f t="shared" si="76"/>
        <v>1.0238045151285149</v>
      </c>
      <c r="M230" s="1765">
        <f t="shared" ref="M230:W230" si="77">E208+$H$159/$E$159*E209*M231</f>
        <v>1.0213239375014784</v>
      </c>
      <c r="N230" s="1765">
        <f t="shared" si="77"/>
        <v>1.0166505417017158</v>
      </c>
      <c r="O230" s="1765">
        <f t="shared" si="77"/>
        <v>1.0097843277292267</v>
      </c>
      <c r="P230" s="1765">
        <f t="shared" si="77"/>
        <v>1.0007771024114409</v>
      </c>
      <c r="Q230" s="1765">
        <f t="shared" si="77"/>
        <v>0.98811518013911159</v>
      </c>
      <c r="R230" s="1765">
        <f t="shared" si="77"/>
        <v>0.97461870482101454</v>
      </c>
      <c r="S230" s="1765">
        <f t="shared" si="77"/>
        <v>0.96039129011200886</v>
      </c>
      <c r="T230" s="1765">
        <f t="shared" si="77"/>
        <v>0.94543293601209433</v>
      </c>
      <c r="U230" s="1765">
        <f t="shared" si="77"/>
        <v>0.92974364252127106</v>
      </c>
      <c r="V230" s="1765">
        <f t="shared" si="77"/>
        <v>0.91332340963953929</v>
      </c>
      <c r="W230" s="1765">
        <f t="shared" si="77"/>
        <v>0.89667475819814824</v>
      </c>
      <c r="X230" s="1765">
        <f t="shared" ref="X230:AF230" si="78">E220+$H$159/$E$159*E221*X231</f>
        <v>0.87931968057712906</v>
      </c>
      <c r="Y230" s="1765">
        <f t="shared" si="78"/>
        <v>0.86125817677648153</v>
      </c>
      <c r="Z230" s="1765">
        <f t="shared" si="78"/>
        <v>0.84249024679620577</v>
      </c>
      <c r="AA230" s="1765">
        <f t="shared" si="78"/>
        <v>0.82301589063630176</v>
      </c>
      <c r="AB230" s="1765">
        <f t="shared" si="78"/>
        <v>0.80283510829676952</v>
      </c>
      <c r="AC230" s="1765">
        <f t="shared" si="78"/>
        <v>0.78194789977760892</v>
      </c>
      <c r="AD230" s="1765">
        <f t="shared" si="78"/>
        <v>0.7603542650788202</v>
      </c>
      <c r="AE230" s="1765">
        <f t="shared" si="78"/>
        <v>0.73805420420040302</v>
      </c>
      <c r="AF230" s="1765">
        <f t="shared" si="78"/>
        <v>0.71504771714235782</v>
      </c>
      <c r="AG230" s="1768">
        <f>AF230</f>
        <v>0.71504771714235782</v>
      </c>
      <c r="AH230" s="1768">
        <f t="shared" ref="AH230:AP230" si="79">AG230</f>
        <v>0.71504771714235782</v>
      </c>
      <c r="AI230" s="1768">
        <f t="shared" si="79"/>
        <v>0.71504771714235782</v>
      </c>
      <c r="AJ230" s="1768">
        <f t="shared" si="79"/>
        <v>0.71504771714235782</v>
      </c>
      <c r="AK230" s="1768">
        <f t="shared" si="79"/>
        <v>0.71504771714235782</v>
      </c>
      <c r="AL230" s="1768">
        <f t="shared" si="79"/>
        <v>0.71504771714235782</v>
      </c>
      <c r="AM230" s="1768">
        <f t="shared" si="79"/>
        <v>0.71504771714235782</v>
      </c>
      <c r="AN230" s="1768">
        <f t="shared" si="79"/>
        <v>0.71504771714235782</v>
      </c>
      <c r="AO230" s="1768">
        <f t="shared" si="79"/>
        <v>0.71504771714235782</v>
      </c>
      <c r="AP230" s="1768">
        <f t="shared" si="79"/>
        <v>0.71504771714235782</v>
      </c>
    </row>
    <row r="231" spans="2:42" ht="13.15" customHeight="1" thickBot="1" x14ac:dyDescent="0.35">
      <c r="B231" s="2068"/>
      <c r="C231" s="1730" t="str">
        <f t="shared" si="75"/>
        <v xml:space="preserve">MHD, trolejbus (na 1 kWh) </v>
      </c>
      <c r="D231" s="1765">
        <v>1</v>
      </c>
      <c r="E231" s="1766">
        <f t="shared" ref="E231:J231" si="80">D231*(1+I171)</f>
        <v>0.99025219102128414</v>
      </c>
      <c r="F231" s="1766">
        <f t="shared" si="80"/>
        <v>0.9805043820425684</v>
      </c>
      <c r="G231" s="1766">
        <f t="shared" si="80"/>
        <v>0.97075657306385266</v>
      </c>
      <c r="H231" s="1767">
        <f t="shared" si="80"/>
        <v>0.9610087640851368</v>
      </c>
      <c r="I231" s="1767">
        <f t="shared" si="80"/>
        <v>0.95126095510642095</v>
      </c>
      <c r="J231" s="1766">
        <f t="shared" si="80"/>
        <v>0.94151314612770509</v>
      </c>
      <c r="K231" s="1768">
        <f t="shared" ref="K231:U231" si="81">J231*(1+D175)</f>
        <v>0.93176533714898935</v>
      </c>
      <c r="L231" s="1768">
        <f t="shared" si="81"/>
        <v>0.92201752817027383</v>
      </c>
      <c r="M231" s="1768">
        <f t="shared" si="81"/>
        <v>0.89268467179395472</v>
      </c>
      <c r="N231" s="1768">
        <f t="shared" si="81"/>
        <v>0.86335181541763562</v>
      </c>
      <c r="O231" s="1768">
        <f t="shared" si="81"/>
        <v>0.83401895904131651</v>
      </c>
      <c r="P231" s="1768">
        <f t="shared" si="81"/>
        <v>0.8046861026649974</v>
      </c>
      <c r="Q231" s="1768">
        <f t="shared" si="81"/>
        <v>0.7753532462886783</v>
      </c>
      <c r="R231" s="1769">
        <f t="shared" si="81"/>
        <v>0.74602038991235919</v>
      </c>
      <c r="S231" s="1771">
        <f t="shared" si="81"/>
        <v>0.71668753353604009</v>
      </c>
      <c r="T231" s="1768">
        <f t="shared" si="81"/>
        <v>0.68735467715972098</v>
      </c>
      <c r="U231" s="1768">
        <f t="shared" si="81"/>
        <v>0.65802182078340188</v>
      </c>
      <c r="V231" s="1768">
        <f t="shared" ref="V231:AF231" si="82">U231*(1+D179)</f>
        <v>0.62868896440708288</v>
      </c>
      <c r="W231" s="1768">
        <f t="shared" si="82"/>
        <v>0.6003398318726525</v>
      </c>
      <c r="X231" s="1768">
        <f t="shared" si="82"/>
        <v>0.57199069933822211</v>
      </c>
      <c r="Y231" s="1768">
        <f t="shared" si="82"/>
        <v>0.54364156680379172</v>
      </c>
      <c r="Z231" s="1768">
        <f t="shared" si="82"/>
        <v>0.51529243426936133</v>
      </c>
      <c r="AA231" s="1768">
        <f t="shared" si="82"/>
        <v>0.48694330173493094</v>
      </c>
      <c r="AB231" s="1768">
        <f t="shared" si="82"/>
        <v>0.45859416920050056</v>
      </c>
      <c r="AC231" s="1768">
        <f t="shared" si="82"/>
        <v>0.43024503666607022</v>
      </c>
      <c r="AD231" s="1768">
        <f t="shared" si="82"/>
        <v>0.40189590413163989</v>
      </c>
      <c r="AE231" s="1768">
        <f t="shared" si="82"/>
        <v>0.37354677159720956</v>
      </c>
      <c r="AF231" s="1768">
        <f t="shared" si="82"/>
        <v>0.34519763906277939</v>
      </c>
      <c r="AG231" s="1768">
        <f>AF231</f>
        <v>0.34519763906277939</v>
      </c>
      <c r="AH231" s="1768">
        <f t="shared" ref="AH231:AP231" si="83">AG231</f>
        <v>0.34519763906277939</v>
      </c>
      <c r="AI231" s="1768">
        <f t="shared" si="83"/>
        <v>0.34519763906277939</v>
      </c>
      <c r="AJ231" s="1768">
        <f t="shared" si="83"/>
        <v>0.34519763906277939</v>
      </c>
      <c r="AK231" s="1768">
        <f t="shared" si="83"/>
        <v>0.34519763906277939</v>
      </c>
      <c r="AL231" s="1768">
        <f t="shared" si="83"/>
        <v>0.34519763906277939</v>
      </c>
      <c r="AM231" s="1768">
        <f t="shared" si="83"/>
        <v>0.34519763906277939</v>
      </c>
      <c r="AN231" s="1768">
        <f t="shared" si="83"/>
        <v>0.34519763906277939</v>
      </c>
      <c r="AO231" s="1768">
        <f t="shared" si="83"/>
        <v>0.34519763906277939</v>
      </c>
      <c r="AP231" s="1768">
        <f t="shared" si="83"/>
        <v>0.34519763906277939</v>
      </c>
    </row>
    <row r="232" spans="2:42" ht="13.15" customHeight="1" thickBot="1" x14ac:dyDescent="0.35">
      <c r="B232" s="2068"/>
      <c r="C232" s="1730" t="str">
        <f t="shared" si="75"/>
        <v xml:space="preserve">MHD. tramvaj (na 1 kWh) </v>
      </c>
      <c r="D232" s="1765">
        <f>D231</f>
        <v>1</v>
      </c>
      <c r="E232" s="1784">
        <f>E231</f>
        <v>0.99025219102128414</v>
      </c>
      <c r="F232" s="1784">
        <f t="shared" ref="F232:AF233" si="84">F231</f>
        <v>0.9805043820425684</v>
      </c>
      <c r="G232" s="1784">
        <f t="shared" si="84"/>
        <v>0.97075657306385266</v>
      </c>
      <c r="H232" s="1784">
        <f t="shared" si="84"/>
        <v>0.9610087640851368</v>
      </c>
      <c r="I232" s="1784">
        <f t="shared" si="84"/>
        <v>0.95126095510642095</v>
      </c>
      <c r="J232" s="1784">
        <f t="shared" si="84"/>
        <v>0.94151314612770509</v>
      </c>
      <c r="K232" s="1784">
        <f t="shared" si="84"/>
        <v>0.93176533714898935</v>
      </c>
      <c r="L232" s="1784">
        <f t="shared" si="84"/>
        <v>0.92201752817027383</v>
      </c>
      <c r="M232" s="1784">
        <f t="shared" si="84"/>
        <v>0.89268467179395472</v>
      </c>
      <c r="N232" s="1784">
        <f t="shared" si="84"/>
        <v>0.86335181541763562</v>
      </c>
      <c r="O232" s="1784">
        <f t="shared" si="84"/>
        <v>0.83401895904131651</v>
      </c>
      <c r="P232" s="1784">
        <f t="shared" si="84"/>
        <v>0.8046861026649974</v>
      </c>
      <c r="Q232" s="1784">
        <f t="shared" si="84"/>
        <v>0.7753532462886783</v>
      </c>
      <c r="R232" s="1784">
        <f t="shared" si="84"/>
        <v>0.74602038991235919</v>
      </c>
      <c r="S232" s="1784">
        <f t="shared" si="84"/>
        <v>0.71668753353604009</v>
      </c>
      <c r="T232" s="1784">
        <f t="shared" si="84"/>
        <v>0.68735467715972098</v>
      </c>
      <c r="U232" s="1784">
        <f t="shared" si="84"/>
        <v>0.65802182078340188</v>
      </c>
      <c r="V232" s="1784">
        <f t="shared" si="84"/>
        <v>0.62868896440708288</v>
      </c>
      <c r="W232" s="1784">
        <f t="shared" si="84"/>
        <v>0.6003398318726525</v>
      </c>
      <c r="X232" s="1784">
        <f t="shared" si="84"/>
        <v>0.57199069933822211</v>
      </c>
      <c r="Y232" s="1784">
        <f t="shared" si="84"/>
        <v>0.54364156680379172</v>
      </c>
      <c r="Z232" s="1784">
        <f t="shared" si="84"/>
        <v>0.51529243426936133</v>
      </c>
      <c r="AA232" s="1784">
        <f t="shared" si="84"/>
        <v>0.48694330173493094</v>
      </c>
      <c r="AB232" s="1784">
        <f t="shared" si="84"/>
        <v>0.45859416920050056</v>
      </c>
      <c r="AC232" s="1784">
        <f t="shared" si="84"/>
        <v>0.43024503666607022</v>
      </c>
      <c r="AD232" s="1784">
        <f t="shared" si="84"/>
        <v>0.40189590413163989</v>
      </c>
      <c r="AE232" s="1784">
        <f t="shared" si="84"/>
        <v>0.37354677159720956</v>
      </c>
      <c r="AF232" s="1784">
        <f t="shared" si="84"/>
        <v>0.34519763906277939</v>
      </c>
      <c r="AG232" s="1768">
        <f t="shared" ref="AG232:AP235" si="85">AF232</f>
        <v>0.34519763906277939</v>
      </c>
      <c r="AH232" s="1768">
        <f t="shared" si="85"/>
        <v>0.34519763906277939</v>
      </c>
      <c r="AI232" s="1768">
        <f t="shared" si="85"/>
        <v>0.34519763906277939</v>
      </c>
      <c r="AJ232" s="1768">
        <f t="shared" si="85"/>
        <v>0.34519763906277939</v>
      </c>
      <c r="AK232" s="1768">
        <f t="shared" si="85"/>
        <v>0.34519763906277939</v>
      </c>
      <c r="AL232" s="1768">
        <f t="shared" si="85"/>
        <v>0.34519763906277939</v>
      </c>
      <c r="AM232" s="1768">
        <f t="shared" si="85"/>
        <v>0.34519763906277939</v>
      </c>
      <c r="AN232" s="1768">
        <f t="shared" si="85"/>
        <v>0.34519763906277939</v>
      </c>
      <c r="AO232" s="1768">
        <f t="shared" si="85"/>
        <v>0.34519763906277939</v>
      </c>
      <c r="AP232" s="1768">
        <f t="shared" si="85"/>
        <v>0.34519763906277939</v>
      </c>
    </row>
    <row r="233" spans="2:42" ht="13.15" customHeight="1" thickBot="1" x14ac:dyDescent="0.35">
      <c r="B233" s="2068"/>
      <c r="C233" s="1730" t="str">
        <f t="shared" si="75"/>
        <v xml:space="preserve">MHD, metro (na 1 kWh) </v>
      </c>
      <c r="D233" s="1765">
        <f>D232</f>
        <v>1</v>
      </c>
      <c r="E233" s="1784">
        <f>E232</f>
        <v>0.99025219102128414</v>
      </c>
      <c r="F233" s="1784">
        <f t="shared" si="84"/>
        <v>0.9805043820425684</v>
      </c>
      <c r="G233" s="1784">
        <f t="shared" si="84"/>
        <v>0.97075657306385266</v>
      </c>
      <c r="H233" s="1784">
        <f t="shared" si="84"/>
        <v>0.9610087640851368</v>
      </c>
      <c r="I233" s="1784">
        <f t="shared" si="84"/>
        <v>0.95126095510642095</v>
      </c>
      <c r="J233" s="1784">
        <f t="shared" si="84"/>
        <v>0.94151314612770509</v>
      </c>
      <c r="K233" s="1784">
        <f t="shared" si="84"/>
        <v>0.93176533714898935</v>
      </c>
      <c r="L233" s="1784">
        <f t="shared" si="84"/>
        <v>0.92201752817027383</v>
      </c>
      <c r="M233" s="1784">
        <f t="shared" si="84"/>
        <v>0.89268467179395472</v>
      </c>
      <c r="N233" s="1784">
        <f t="shared" si="84"/>
        <v>0.86335181541763562</v>
      </c>
      <c r="O233" s="1784">
        <f t="shared" si="84"/>
        <v>0.83401895904131651</v>
      </c>
      <c r="P233" s="1784">
        <f t="shared" si="84"/>
        <v>0.8046861026649974</v>
      </c>
      <c r="Q233" s="1784">
        <f t="shared" si="84"/>
        <v>0.7753532462886783</v>
      </c>
      <c r="R233" s="1784">
        <f t="shared" si="84"/>
        <v>0.74602038991235919</v>
      </c>
      <c r="S233" s="1784">
        <f t="shared" si="84"/>
        <v>0.71668753353604009</v>
      </c>
      <c r="T233" s="1784">
        <f t="shared" si="84"/>
        <v>0.68735467715972098</v>
      </c>
      <c r="U233" s="1784">
        <f t="shared" si="84"/>
        <v>0.65802182078340188</v>
      </c>
      <c r="V233" s="1784">
        <f t="shared" si="84"/>
        <v>0.62868896440708288</v>
      </c>
      <c r="W233" s="1784">
        <f t="shared" si="84"/>
        <v>0.6003398318726525</v>
      </c>
      <c r="X233" s="1784">
        <f t="shared" si="84"/>
        <v>0.57199069933822211</v>
      </c>
      <c r="Y233" s="1784">
        <f t="shared" si="84"/>
        <v>0.54364156680379172</v>
      </c>
      <c r="Z233" s="1784">
        <f t="shared" si="84"/>
        <v>0.51529243426936133</v>
      </c>
      <c r="AA233" s="1784">
        <f t="shared" si="84"/>
        <v>0.48694330173493094</v>
      </c>
      <c r="AB233" s="1784">
        <f t="shared" si="84"/>
        <v>0.45859416920050056</v>
      </c>
      <c r="AC233" s="1784">
        <f t="shared" si="84"/>
        <v>0.43024503666607022</v>
      </c>
      <c r="AD233" s="1784">
        <f t="shared" si="84"/>
        <v>0.40189590413163989</v>
      </c>
      <c r="AE233" s="1784">
        <f t="shared" si="84"/>
        <v>0.37354677159720956</v>
      </c>
      <c r="AF233" s="1784">
        <f t="shared" si="84"/>
        <v>0.34519763906277939</v>
      </c>
      <c r="AG233" s="1768">
        <f t="shared" si="85"/>
        <v>0.34519763906277939</v>
      </c>
      <c r="AH233" s="1768">
        <f t="shared" si="85"/>
        <v>0.34519763906277939</v>
      </c>
      <c r="AI233" s="1768">
        <f t="shared" si="85"/>
        <v>0.34519763906277939</v>
      </c>
      <c r="AJ233" s="1768">
        <f t="shared" si="85"/>
        <v>0.34519763906277939</v>
      </c>
      <c r="AK233" s="1768">
        <f t="shared" si="85"/>
        <v>0.34519763906277939</v>
      </c>
      <c r="AL233" s="1768">
        <f t="shared" si="85"/>
        <v>0.34519763906277939</v>
      </c>
      <c r="AM233" s="1768">
        <f t="shared" si="85"/>
        <v>0.34519763906277939</v>
      </c>
      <c r="AN233" s="1768">
        <f t="shared" si="85"/>
        <v>0.34519763906277939</v>
      </c>
      <c r="AO233" s="1768">
        <f t="shared" si="85"/>
        <v>0.34519763906277939</v>
      </c>
      <c r="AP233" s="1768">
        <f t="shared" si="85"/>
        <v>0.34519763906277939</v>
      </c>
    </row>
    <row r="234" spans="2:42" ht="13.15" customHeight="1" thickBot="1" x14ac:dyDescent="0.35">
      <c r="B234" s="2068"/>
      <c r="C234" s="1730" t="str">
        <f t="shared" si="75"/>
        <v>IAD (město)</v>
      </c>
      <c r="D234" s="1765">
        <v>1</v>
      </c>
      <c r="E234" s="1765">
        <f t="shared" ref="E234:L234" si="86">(1-H195)+$H$163/$E$163*H195*E231</f>
        <v>0.99271326683218564</v>
      </c>
      <c r="F234" s="1765">
        <f t="shared" si="86"/>
        <v>0.99080774353604006</v>
      </c>
      <c r="G234" s="1765">
        <f t="shared" si="86"/>
        <v>0.98887667011156322</v>
      </c>
      <c r="H234" s="1765">
        <f t="shared" si="86"/>
        <v>0.98233248047084598</v>
      </c>
      <c r="I234" s="1765">
        <f t="shared" si="86"/>
        <v>0.97568835205866578</v>
      </c>
      <c r="J234" s="1765">
        <f t="shared" si="86"/>
        <v>0.96895618148452867</v>
      </c>
      <c r="K234" s="1765">
        <f t="shared" si="86"/>
        <v>0.9621359687484351</v>
      </c>
      <c r="L234" s="1765">
        <f t="shared" si="86"/>
        <v>0.95521541039170099</v>
      </c>
      <c r="M234" s="1765">
        <f t="shared" ref="M234:W234" si="87">(1-E207)+$H$163/$E$163*E207*M231</f>
        <v>0.94630576138928635</v>
      </c>
      <c r="N234" s="1765">
        <f t="shared" si="87"/>
        <v>0.93708318639509924</v>
      </c>
      <c r="O234" s="1765">
        <f t="shared" si="87"/>
        <v>0.92754768540913968</v>
      </c>
      <c r="P234" s="1765">
        <f t="shared" si="87"/>
        <v>0.91769925843140765</v>
      </c>
      <c r="Q234" s="1765">
        <f t="shared" si="87"/>
        <v>0.90753790546190305</v>
      </c>
      <c r="R234" s="1765">
        <f t="shared" si="87"/>
        <v>0.89571391221069574</v>
      </c>
      <c r="S234" s="1765">
        <f t="shared" si="87"/>
        <v>0.8835290011880701</v>
      </c>
      <c r="T234" s="1765">
        <f t="shared" si="87"/>
        <v>0.87098317239402601</v>
      </c>
      <c r="U234" s="1765">
        <f t="shared" si="87"/>
        <v>0.85807642582856369</v>
      </c>
      <c r="V234" s="1765">
        <f t="shared" si="87"/>
        <v>0.84480876149168305</v>
      </c>
      <c r="W234" s="1765">
        <f t="shared" si="87"/>
        <v>0.83080796919513511</v>
      </c>
      <c r="X234" s="1765">
        <f t="shared" ref="X234:AF234" si="88">(1-E219)+$H$163/$E$163*E219*X231</f>
        <v>0.81644369112502235</v>
      </c>
      <c r="Y234" s="1765">
        <f t="shared" si="88"/>
        <v>0.801715927281345</v>
      </c>
      <c r="Z234" s="1765">
        <f t="shared" si="88"/>
        <v>0.78662467766410304</v>
      </c>
      <c r="AA234" s="1765">
        <f t="shared" si="88"/>
        <v>0.77116994227329638</v>
      </c>
      <c r="AB234" s="1765">
        <f t="shared" si="88"/>
        <v>0.75405797029511712</v>
      </c>
      <c r="AC234" s="1765">
        <f t="shared" si="88"/>
        <v>0.7365446494419603</v>
      </c>
      <c r="AD234" s="1765">
        <f t="shared" si="88"/>
        <v>0.71862997971382581</v>
      </c>
      <c r="AE234" s="1765">
        <f t="shared" si="88"/>
        <v>0.70031396111071365</v>
      </c>
      <c r="AF234" s="1765">
        <f t="shared" si="88"/>
        <v>0.68159659363262382</v>
      </c>
      <c r="AG234" s="1768">
        <f t="shared" si="85"/>
        <v>0.68159659363262382</v>
      </c>
      <c r="AH234" s="1768">
        <f t="shared" si="85"/>
        <v>0.68159659363262382</v>
      </c>
      <c r="AI234" s="1768">
        <f t="shared" si="85"/>
        <v>0.68159659363262382</v>
      </c>
      <c r="AJ234" s="1768">
        <f t="shared" si="85"/>
        <v>0.68159659363262382</v>
      </c>
      <c r="AK234" s="1768">
        <f t="shared" si="85"/>
        <v>0.68159659363262382</v>
      </c>
      <c r="AL234" s="1768">
        <f t="shared" si="85"/>
        <v>0.68159659363262382</v>
      </c>
      <c r="AM234" s="1768">
        <f t="shared" si="85"/>
        <v>0.68159659363262382</v>
      </c>
      <c r="AN234" s="1768">
        <f t="shared" si="85"/>
        <v>0.68159659363262382</v>
      </c>
      <c r="AO234" s="1768">
        <f t="shared" si="85"/>
        <v>0.68159659363262382</v>
      </c>
      <c r="AP234" s="1768">
        <f t="shared" si="85"/>
        <v>0.68159659363262382</v>
      </c>
    </row>
    <row r="235" spans="2:42" ht="13.15" customHeight="1" thickBot="1" x14ac:dyDescent="0.35">
      <c r="B235" s="2068"/>
      <c r="C235" s="1730" t="str">
        <f t="shared" si="75"/>
        <v xml:space="preserve">jednotkové emise na 1 kWh </v>
      </c>
      <c r="D235" s="1765">
        <f>D233</f>
        <v>1</v>
      </c>
      <c r="E235" s="1765">
        <f>E231</f>
        <v>0.99025219102128414</v>
      </c>
      <c r="F235" s="1765">
        <f t="shared" ref="F235:AF235" si="89">F231</f>
        <v>0.9805043820425684</v>
      </c>
      <c r="G235" s="1765">
        <f t="shared" si="89"/>
        <v>0.97075657306385266</v>
      </c>
      <c r="H235" s="1765">
        <f t="shared" si="89"/>
        <v>0.9610087640851368</v>
      </c>
      <c r="I235" s="1765">
        <f t="shared" si="89"/>
        <v>0.95126095510642095</v>
      </c>
      <c r="J235" s="1765">
        <f t="shared" si="89"/>
        <v>0.94151314612770509</v>
      </c>
      <c r="K235" s="1765">
        <f t="shared" si="89"/>
        <v>0.93176533714898935</v>
      </c>
      <c r="L235" s="1765">
        <f t="shared" si="89"/>
        <v>0.92201752817027383</v>
      </c>
      <c r="M235" s="1765">
        <f t="shared" si="89"/>
        <v>0.89268467179395472</v>
      </c>
      <c r="N235" s="1765">
        <f t="shared" si="89"/>
        <v>0.86335181541763562</v>
      </c>
      <c r="O235" s="1765">
        <f t="shared" si="89"/>
        <v>0.83401895904131651</v>
      </c>
      <c r="P235" s="1765">
        <f t="shared" si="89"/>
        <v>0.8046861026649974</v>
      </c>
      <c r="Q235" s="1765">
        <f t="shared" si="89"/>
        <v>0.7753532462886783</v>
      </c>
      <c r="R235" s="1765">
        <f t="shared" si="89"/>
        <v>0.74602038991235919</v>
      </c>
      <c r="S235" s="1765">
        <f t="shared" si="89"/>
        <v>0.71668753353604009</v>
      </c>
      <c r="T235" s="1765">
        <f t="shared" si="89"/>
        <v>0.68735467715972098</v>
      </c>
      <c r="U235" s="1765">
        <f t="shared" si="89"/>
        <v>0.65802182078340188</v>
      </c>
      <c r="V235" s="1765">
        <f t="shared" si="89"/>
        <v>0.62868896440708288</v>
      </c>
      <c r="W235" s="1765">
        <f t="shared" si="89"/>
        <v>0.6003398318726525</v>
      </c>
      <c r="X235" s="1765">
        <f t="shared" si="89"/>
        <v>0.57199069933822211</v>
      </c>
      <c r="Y235" s="1765">
        <f t="shared" si="89"/>
        <v>0.54364156680379172</v>
      </c>
      <c r="Z235" s="1765">
        <f t="shared" si="89"/>
        <v>0.51529243426936133</v>
      </c>
      <c r="AA235" s="1765">
        <f t="shared" si="89"/>
        <v>0.48694330173493094</v>
      </c>
      <c r="AB235" s="1765">
        <f t="shared" si="89"/>
        <v>0.45859416920050056</v>
      </c>
      <c r="AC235" s="1765">
        <f t="shared" si="89"/>
        <v>0.43024503666607022</v>
      </c>
      <c r="AD235" s="1765">
        <f t="shared" si="89"/>
        <v>0.40189590413163989</v>
      </c>
      <c r="AE235" s="1765">
        <f t="shared" si="89"/>
        <v>0.37354677159720956</v>
      </c>
      <c r="AF235" s="1765">
        <f t="shared" si="89"/>
        <v>0.34519763906277939</v>
      </c>
      <c r="AG235" s="1768">
        <f t="shared" si="85"/>
        <v>0.34519763906277939</v>
      </c>
      <c r="AH235" s="1768">
        <f t="shared" si="85"/>
        <v>0.34519763906277939</v>
      </c>
      <c r="AI235" s="1768">
        <f t="shared" si="85"/>
        <v>0.34519763906277939</v>
      </c>
      <c r="AJ235" s="1768">
        <f t="shared" si="85"/>
        <v>0.34519763906277939</v>
      </c>
      <c r="AK235" s="1768">
        <f t="shared" si="85"/>
        <v>0.34519763906277939</v>
      </c>
      <c r="AL235" s="1768">
        <f t="shared" si="85"/>
        <v>0.34519763906277939</v>
      </c>
      <c r="AM235" s="1768">
        <f t="shared" si="85"/>
        <v>0.34519763906277939</v>
      </c>
      <c r="AN235" s="1768">
        <f t="shared" si="85"/>
        <v>0.34519763906277939</v>
      </c>
      <c r="AO235" s="1768">
        <f t="shared" si="85"/>
        <v>0.34519763906277939</v>
      </c>
      <c r="AP235" s="1768">
        <f t="shared" si="85"/>
        <v>0.34519763906277939</v>
      </c>
    </row>
    <row r="236" spans="2:42" ht="13.15" customHeight="1" thickBot="1" x14ac:dyDescent="0.35">
      <c r="B236" s="2068"/>
      <c r="C236" s="1730" t="s">
        <v>1617</v>
      </c>
      <c r="D236" s="1410">
        <f t="shared" ref="D236:R236" si="90">E2</f>
        <v>2026</v>
      </c>
      <c r="E236" s="1410">
        <f t="shared" si="90"/>
        <v>2027</v>
      </c>
      <c r="F236" s="1410">
        <f t="shared" si="90"/>
        <v>2028</v>
      </c>
      <c r="G236" s="1410">
        <f t="shared" si="90"/>
        <v>2029</v>
      </c>
      <c r="H236" s="1410">
        <f t="shared" si="90"/>
        <v>2030</v>
      </c>
      <c r="I236" s="1410">
        <f t="shared" si="90"/>
        <v>2031</v>
      </c>
      <c r="J236" s="1410">
        <f t="shared" si="90"/>
        <v>2032</v>
      </c>
      <c r="K236" s="1410">
        <f t="shared" si="90"/>
        <v>2033</v>
      </c>
      <c r="L236" s="1410">
        <f t="shared" si="90"/>
        <v>2034</v>
      </c>
      <c r="M236" s="1410">
        <f t="shared" si="90"/>
        <v>2035</v>
      </c>
      <c r="N236" s="1410">
        <f t="shared" si="90"/>
        <v>2036</v>
      </c>
      <c r="O236" s="1410">
        <f t="shared" si="90"/>
        <v>2037</v>
      </c>
      <c r="P236" s="1410">
        <f t="shared" si="90"/>
        <v>2038</v>
      </c>
      <c r="Q236" s="1410">
        <f t="shared" si="90"/>
        <v>2039</v>
      </c>
      <c r="R236" s="1772">
        <f t="shared" si="90"/>
        <v>2040</v>
      </c>
    </row>
    <row r="237" spans="2:42" ht="13.15" customHeight="1" thickBot="1" x14ac:dyDescent="0.35">
      <c r="B237" s="2068"/>
      <c r="C237" s="1730" t="str">
        <f>C230</f>
        <v>MHD, BUS</v>
      </c>
      <c r="D237" s="1765">
        <f>IFERROR(HLOOKUP(D$236,$D$229:$AP$235,2,FALSE),1)</f>
        <v>1.0131572631575745</v>
      </c>
      <c r="E237" s="1765">
        <f t="shared" ref="E237:R237" si="91">IFERROR(HLOOKUP(E$236,$D$229:$AP$235,2,FALSE),1)</f>
        <v>1.0154344804509179</v>
      </c>
      <c r="F237" s="1765">
        <f t="shared" si="91"/>
        <v>1.0173068583458418</v>
      </c>
      <c r="G237" s="1765">
        <f t="shared" si="91"/>
        <v>1.0209200421957563</v>
      </c>
      <c r="H237" s="1765">
        <f t="shared" si="91"/>
        <v>1.0238045151285149</v>
      </c>
      <c r="I237" s="1765">
        <f t="shared" si="91"/>
        <v>1.0213239375014784</v>
      </c>
      <c r="J237" s="1765">
        <f t="shared" si="91"/>
        <v>1.0166505417017158</v>
      </c>
      <c r="K237" s="1765">
        <f t="shared" si="91"/>
        <v>1.0097843277292267</v>
      </c>
      <c r="L237" s="1765">
        <f t="shared" si="91"/>
        <v>1.0007771024114409</v>
      </c>
      <c r="M237" s="1765">
        <f t="shared" si="91"/>
        <v>0.98811518013911159</v>
      </c>
      <c r="N237" s="1765">
        <f t="shared" si="91"/>
        <v>0.97461870482101454</v>
      </c>
      <c r="O237" s="1765">
        <f t="shared" si="91"/>
        <v>0.96039129011200886</v>
      </c>
      <c r="P237" s="1765">
        <f t="shared" si="91"/>
        <v>0.94543293601209433</v>
      </c>
      <c r="Q237" s="1765">
        <f t="shared" si="91"/>
        <v>0.92974364252127106</v>
      </c>
      <c r="R237" s="1765">
        <f t="shared" si="91"/>
        <v>0.91332340963953929</v>
      </c>
    </row>
    <row r="238" spans="2:42" ht="13.15" customHeight="1" thickBot="1" x14ac:dyDescent="0.35">
      <c r="B238" s="2068"/>
      <c r="C238" s="1730" t="str">
        <f t="shared" ref="C238:C242" si="92">C231</f>
        <v xml:space="preserve">MHD, trolejbus (na 1 kWh) </v>
      </c>
      <c r="D238" s="1765">
        <f>IFERROR(HLOOKUP(D$236,$D$229:$AP$235,3,FALSE),1)</f>
        <v>0.9610087640851368</v>
      </c>
      <c r="E238" s="1765">
        <f t="shared" ref="E238:R238" si="93">IFERROR(HLOOKUP(E$236,$D$229:$AP$235,3,FALSE),1)</f>
        <v>0.95126095510642095</v>
      </c>
      <c r="F238" s="1765">
        <f t="shared" si="93"/>
        <v>0.94151314612770509</v>
      </c>
      <c r="G238" s="1765">
        <f t="shared" si="93"/>
        <v>0.93176533714898935</v>
      </c>
      <c r="H238" s="1765">
        <f t="shared" si="93"/>
        <v>0.92201752817027383</v>
      </c>
      <c r="I238" s="1765">
        <f t="shared" si="93"/>
        <v>0.89268467179395472</v>
      </c>
      <c r="J238" s="1765">
        <f t="shared" si="93"/>
        <v>0.86335181541763562</v>
      </c>
      <c r="K238" s="1765">
        <f t="shared" si="93"/>
        <v>0.83401895904131651</v>
      </c>
      <c r="L238" s="1765">
        <f t="shared" si="93"/>
        <v>0.8046861026649974</v>
      </c>
      <c r="M238" s="1765">
        <f t="shared" si="93"/>
        <v>0.7753532462886783</v>
      </c>
      <c r="N238" s="1765">
        <f t="shared" si="93"/>
        <v>0.74602038991235919</v>
      </c>
      <c r="O238" s="1765">
        <f t="shared" si="93"/>
        <v>0.71668753353604009</v>
      </c>
      <c r="P238" s="1765">
        <f t="shared" si="93"/>
        <v>0.68735467715972098</v>
      </c>
      <c r="Q238" s="1765">
        <f t="shared" si="93"/>
        <v>0.65802182078340188</v>
      </c>
      <c r="R238" s="1765">
        <f t="shared" si="93"/>
        <v>0.62868896440708288</v>
      </c>
    </row>
    <row r="239" spans="2:42" ht="13.15" customHeight="1" thickBot="1" x14ac:dyDescent="0.35">
      <c r="B239" s="2068"/>
      <c r="C239" s="1730" t="str">
        <f t="shared" si="92"/>
        <v xml:space="preserve">MHD. tramvaj (na 1 kWh) </v>
      </c>
      <c r="D239" s="1765">
        <f>IFERROR(HLOOKUP(D$236,$D$229:$AP$235,4,FALSE),1)</f>
        <v>0.9610087640851368</v>
      </c>
      <c r="E239" s="1765">
        <f t="shared" ref="E239:R239" si="94">IFERROR(HLOOKUP(E$236,$D$229:$AP$235,4,FALSE),1)</f>
        <v>0.95126095510642095</v>
      </c>
      <c r="F239" s="1765">
        <f t="shared" si="94"/>
        <v>0.94151314612770509</v>
      </c>
      <c r="G239" s="1765">
        <f t="shared" si="94"/>
        <v>0.93176533714898935</v>
      </c>
      <c r="H239" s="1765">
        <f t="shared" si="94"/>
        <v>0.92201752817027383</v>
      </c>
      <c r="I239" s="1765">
        <f t="shared" si="94"/>
        <v>0.89268467179395472</v>
      </c>
      <c r="J239" s="1765">
        <f t="shared" si="94"/>
        <v>0.86335181541763562</v>
      </c>
      <c r="K239" s="1765">
        <f t="shared" si="94"/>
        <v>0.83401895904131651</v>
      </c>
      <c r="L239" s="1765">
        <f t="shared" si="94"/>
        <v>0.8046861026649974</v>
      </c>
      <c r="M239" s="1765">
        <f t="shared" si="94"/>
        <v>0.7753532462886783</v>
      </c>
      <c r="N239" s="1765">
        <f t="shared" si="94"/>
        <v>0.74602038991235919</v>
      </c>
      <c r="O239" s="1765">
        <f t="shared" si="94"/>
        <v>0.71668753353604009</v>
      </c>
      <c r="P239" s="1765">
        <f t="shared" si="94"/>
        <v>0.68735467715972098</v>
      </c>
      <c r="Q239" s="1765">
        <f t="shared" si="94"/>
        <v>0.65802182078340188</v>
      </c>
      <c r="R239" s="1765">
        <f t="shared" si="94"/>
        <v>0.62868896440708288</v>
      </c>
    </row>
    <row r="240" spans="2:42" ht="13.15" customHeight="1" thickBot="1" x14ac:dyDescent="0.35">
      <c r="B240" s="2068"/>
      <c r="C240" s="1730" t="str">
        <f t="shared" si="92"/>
        <v xml:space="preserve">MHD, metro (na 1 kWh) </v>
      </c>
      <c r="D240" s="1765">
        <f>IFERROR(HLOOKUP(D$236,$D$229:$AP$235,5,FALSE),1)</f>
        <v>0.9610087640851368</v>
      </c>
      <c r="E240" s="1765">
        <f t="shared" ref="E240:R240" si="95">IFERROR(HLOOKUP(E$236,$D$229:$AP$235,5,FALSE),1)</f>
        <v>0.95126095510642095</v>
      </c>
      <c r="F240" s="1765">
        <f t="shared" si="95"/>
        <v>0.94151314612770509</v>
      </c>
      <c r="G240" s="1765">
        <f t="shared" si="95"/>
        <v>0.93176533714898935</v>
      </c>
      <c r="H240" s="1765">
        <f t="shared" si="95"/>
        <v>0.92201752817027383</v>
      </c>
      <c r="I240" s="1765">
        <f t="shared" si="95"/>
        <v>0.89268467179395472</v>
      </c>
      <c r="J240" s="1765">
        <f t="shared" si="95"/>
        <v>0.86335181541763562</v>
      </c>
      <c r="K240" s="1765">
        <f t="shared" si="95"/>
        <v>0.83401895904131651</v>
      </c>
      <c r="L240" s="1765">
        <f t="shared" si="95"/>
        <v>0.8046861026649974</v>
      </c>
      <c r="M240" s="1765">
        <f t="shared" si="95"/>
        <v>0.7753532462886783</v>
      </c>
      <c r="N240" s="1765">
        <f t="shared" si="95"/>
        <v>0.74602038991235919</v>
      </c>
      <c r="O240" s="1765">
        <f t="shared" si="95"/>
        <v>0.71668753353604009</v>
      </c>
      <c r="P240" s="1765">
        <f t="shared" si="95"/>
        <v>0.68735467715972098</v>
      </c>
      <c r="Q240" s="1765">
        <f t="shared" si="95"/>
        <v>0.65802182078340188</v>
      </c>
      <c r="R240" s="1765">
        <f t="shared" si="95"/>
        <v>0.62868896440708288</v>
      </c>
    </row>
    <row r="241" spans="2:21" ht="13.15" customHeight="1" thickBot="1" x14ac:dyDescent="0.35">
      <c r="B241" s="2068"/>
      <c r="C241" s="1730" t="str">
        <f t="shared" si="92"/>
        <v>IAD (město)</v>
      </c>
      <c r="D241" s="1765">
        <f>IFERROR(HLOOKUP(D$236,$D$229:$AP$235,6,FALSE),1)</f>
        <v>0.98233248047084598</v>
      </c>
      <c r="E241" s="1765">
        <f t="shared" ref="E241:R241" si="96">IFERROR(HLOOKUP(E$236,$D$229:$AP$235,6,FALSE),1)</f>
        <v>0.97568835205866578</v>
      </c>
      <c r="F241" s="1765">
        <f t="shared" si="96"/>
        <v>0.96895618148452867</v>
      </c>
      <c r="G241" s="1765">
        <f t="shared" si="96"/>
        <v>0.9621359687484351</v>
      </c>
      <c r="H241" s="1765">
        <f t="shared" si="96"/>
        <v>0.95521541039170099</v>
      </c>
      <c r="I241" s="1765">
        <f t="shared" si="96"/>
        <v>0.94630576138928635</v>
      </c>
      <c r="J241" s="1765">
        <f t="shared" si="96"/>
        <v>0.93708318639509924</v>
      </c>
      <c r="K241" s="1765">
        <f t="shared" si="96"/>
        <v>0.92754768540913968</v>
      </c>
      <c r="L241" s="1765">
        <f t="shared" si="96"/>
        <v>0.91769925843140765</v>
      </c>
      <c r="M241" s="1765">
        <f t="shared" si="96"/>
        <v>0.90753790546190305</v>
      </c>
      <c r="N241" s="1765">
        <f t="shared" si="96"/>
        <v>0.89571391221069574</v>
      </c>
      <c r="O241" s="1765">
        <f t="shared" si="96"/>
        <v>0.8835290011880701</v>
      </c>
      <c r="P241" s="1765">
        <f t="shared" si="96"/>
        <v>0.87098317239402601</v>
      </c>
      <c r="Q241" s="1765">
        <f t="shared" si="96"/>
        <v>0.85807642582856369</v>
      </c>
      <c r="R241" s="1765">
        <f t="shared" si="96"/>
        <v>0.84480876149168305</v>
      </c>
    </row>
    <row r="242" spans="2:21" ht="13.15" customHeight="1" thickBot="1" x14ac:dyDescent="0.35">
      <c r="B242" s="2068"/>
      <c r="C242" s="1730" t="str">
        <f t="shared" si="92"/>
        <v xml:space="preserve">jednotkové emise na 1 kWh </v>
      </c>
      <c r="D242" s="1765">
        <f>IFERROR(HLOOKUP(D$236,$D$229:$AP$235,7,FALSE),1)</f>
        <v>0.9610087640851368</v>
      </c>
      <c r="E242" s="1765">
        <f t="shared" ref="E242:R242" si="97">IFERROR(HLOOKUP(E$236,$D$229:$AP$235,7,FALSE),1)</f>
        <v>0.95126095510642095</v>
      </c>
      <c r="F242" s="1765">
        <f t="shared" si="97"/>
        <v>0.94151314612770509</v>
      </c>
      <c r="G242" s="1765">
        <f t="shared" si="97"/>
        <v>0.93176533714898935</v>
      </c>
      <c r="H242" s="1765">
        <f t="shared" si="97"/>
        <v>0.92201752817027383</v>
      </c>
      <c r="I242" s="1765">
        <f t="shared" si="97"/>
        <v>0.89268467179395472</v>
      </c>
      <c r="J242" s="1765">
        <f t="shared" si="97"/>
        <v>0.86335181541763562</v>
      </c>
      <c r="K242" s="1765">
        <f t="shared" si="97"/>
        <v>0.83401895904131651</v>
      </c>
      <c r="L242" s="1765">
        <f t="shared" si="97"/>
        <v>0.8046861026649974</v>
      </c>
      <c r="M242" s="1765">
        <f t="shared" si="97"/>
        <v>0.7753532462886783</v>
      </c>
      <c r="N242" s="1765">
        <f t="shared" si="97"/>
        <v>0.74602038991235919</v>
      </c>
      <c r="O242" s="1765">
        <f t="shared" si="97"/>
        <v>0.71668753353604009</v>
      </c>
      <c r="P242" s="1765">
        <f t="shared" si="97"/>
        <v>0.68735467715972098</v>
      </c>
      <c r="Q242" s="1765">
        <f t="shared" si="97"/>
        <v>0.65802182078340188</v>
      </c>
      <c r="R242" s="1765">
        <f t="shared" si="97"/>
        <v>0.62868896440708288</v>
      </c>
      <c r="S242" s="585"/>
      <c r="U242" s="299"/>
    </row>
    <row r="243" spans="2:21" ht="13.15" customHeight="1" thickBot="1" x14ac:dyDescent="0.35">
      <c r="B243" s="2068"/>
      <c r="C243" s="1730" t="s">
        <v>1601</v>
      </c>
      <c r="D243" s="1410">
        <f t="shared" ref="D243:R243" si="98">E12</f>
        <v>2041</v>
      </c>
      <c r="E243" s="1410">
        <f t="shared" si="98"/>
        <v>2042</v>
      </c>
      <c r="F243" s="1410">
        <f t="shared" si="98"/>
        <v>2043</v>
      </c>
      <c r="G243" s="1410">
        <f t="shared" si="98"/>
        <v>2044</v>
      </c>
      <c r="H243" s="1410">
        <f t="shared" si="98"/>
        <v>2045</v>
      </c>
      <c r="I243" s="1410">
        <f t="shared" si="98"/>
        <v>2046</v>
      </c>
      <c r="J243" s="1410">
        <f t="shared" si="98"/>
        <v>2047</v>
      </c>
      <c r="K243" s="1410">
        <f t="shared" si="98"/>
        <v>2048</v>
      </c>
      <c r="L243" s="1410">
        <f t="shared" si="98"/>
        <v>2049</v>
      </c>
      <c r="M243" s="1410">
        <f t="shared" si="98"/>
        <v>2050</v>
      </c>
      <c r="N243" s="1410">
        <f t="shared" si="98"/>
        <v>2051</v>
      </c>
      <c r="O243" s="1410">
        <f t="shared" si="98"/>
        <v>2052</v>
      </c>
      <c r="P243" s="1410">
        <f t="shared" si="98"/>
        <v>2053</v>
      </c>
      <c r="Q243" s="1410">
        <f t="shared" si="98"/>
        <v>2054</v>
      </c>
      <c r="R243" s="1772">
        <f t="shared" si="98"/>
        <v>2055</v>
      </c>
      <c r="S243" s="585"/>
      <c r="U243" s="299"/>
    </row>
    <row r="244" spans="2:21" ht="13.15" customHeight="1" thickBot="1" x14ac:dyDescent="0.35">
      <c r="B244" s="2068"/>
      <c r="C244" s="1730" t="str">
        <f>C237</f>
        <v>MHD, BUS</v>
      </c>
      <c r="D244" s="1765">
        <f>IFERROR(HLOOKUP(D$243,$D$229:$AP$235,2,FALSE),1)</f>
        <v>0.89667475819814824</v>
      </c>
      <c r="E244" s="1765">
        <f t="shared" ref="E244:R244" si="99">IFERROR(HLOOKUP(E$243,$D$229:$AP$235,2,FALSE),1)</f>
        <v>0.87931968057712906</v>
      </c>
      <c r="F244" s="1765">
        <f t="shared" si="99"/>
        <v>0.86125817677648153</v>
      </c>
      <c r="G244" s="1765">
        <f t="shared" si="99"/>
        <v>0.84249024679620577</v>
      </c>
      <c r="H244" s="1765">
        <f t="shared" si="99"/>
        <v>0.82301589063630176</v>
      </c>
      <c r="I244" s="1765">
        <f t="shared" si="99"/>
        <v>0.80283510829676952</v>
      </c>
      <c r="J244" s="1765">
        <f t="shared" si="99"/>
        <v>0.78194789977760892</v>
      </c>
      <c r="K244" s="1765">
        <f t="shared" si="99"/>
        <v>0.7603542650788202</v>
      </c>
      <c r="L244" s="1765">
        <f t="shared" si="99"/>
        <v>0.73805420420040302</v>
      </c>
      <c r="M244" s="1765">
        <f t="shared" si="99"/>
        <v>0.71504771714235782</v>
      </c>
      <c r="N244" s="1765">
        <f t="shared" si="99"/>
        <v>0.71504771714235782</v>
      </c>
      <c r="O244" s="1765">
        <f t="shared" si="99"/>
        <v>0.71504771714235782</v>
      </c>
      <c r="P244" s="1765">
        <f t="shared" si="99"/>
        <v>0.71504771714235782</v>
      </c>
      <c r="Q244" s="1765">
        <f t="shared" si="99"/>
        <v>0.71504771714235782</v>
      </c>
      <c r="R244" s="1765">
        <f t="shared" si="99"/>
        <v>0.71504771714235782</v>
      </c>
      <c r="S244" s="585"/>
      <c r="U244" s="299"/>
    </row>
    <row r="245" spans="2:21" ht="13.15" customHeight="1" thickBot="1" x14ac:dyDescent="0.35">
      <c r="B245" s="2068"/>
      <c r="C245" s="1730" t="str">
        <f t="shared" ref="C245:C249" si="100">C238</f>
        <v xml:space="preserve">MHD, trolejbus (na 1 kWh) </v>
      </c>
      <c r="D245" s="1765">
        <f>IFERROR(HLOOKUP(D$243,$D$229:$AP$235,3,FALSE),1)</f>
        <v>0.6003398318726525</v>
      </c>
      <c r="E245" s="1765">
        <f t="shared" ref="E245:R245" si="101">IFERROR(HLOOKUP(E$243,$D$229:$AP$235,3,FALSE),1)</f>
        <v>0.57199069933822211</v>
      </c>
      <c r="F245" s="1765">
        <f t="shared" si="101"/>
        <v>0.54364156680379172</v>
      </c>
      <c r="G245" s="1765">
        <f t="shared" si="101"/>
        <v>0.51529243426936133</v>
      </c>
      <c r="H245" s="1765">
        <f t="shared" si="101"/>
        <v>0.48694330173493094</v>
      </c>
      <c r="I245" s="1765">
        <f t="shared" si="101"/>
        <v>0.45859416920050056</v>
      </c>
      <c r="J245" s="1765">
        <f t="shared" si="101"/>
        <v>0.43024503666607022</v>
      </c>
      <c r="K245" s="1765">
        <f t="shared" si="101"/>
        <v>0.40189590413163989</v>
      </c>
      <c r="L245" s="1765">
        <f t="shared" si="101"/>
        <v>0.37354677159720956</v>
      </c>
      <c r="M245" s="1765">
        <f t="shared" si="101"/>
        <v>0.34519763906277939</v>
      </c>
      <c r="N245" s="1765">
        <f t="shared" si="101"/>
        <v>0.34519763906277939</v>
      </c>
      <c r="O245" s="1765">
        <f t="shared" si="101"/>
        <v>0.34519763906277939</v>
      </c>
      <c r="P245" s="1765">
        <f t="shared" si="101"/>
        <v>0.34519763906277939</v>
      </c>
      <c r="Q245" s="1765">
        <f t="shared" si="101"/>
        <v>0.34519763906277939</v>
      </c>
      <c r="R245" s="1765">
        <f t="shared" si="101"/>
        <v>0.34519763906277939</v>
      </c>
      <c r="S245" s="585"/>
      <c r="U245" s="299"/>
    </row>
    <row r="246" spans="2:21" ht="13.15" customHeight="1" thickBot="1" x14ac:dyDescent="0.35">
      <c r="B246" s="2068"/>
      <c r="C246" s="1730" t="str">
        <f t="shared" si="100"/>
        <v xml:space="preserve">MHD. tramvaj (na 1 kWh) </v>
      </c>
      <c r="D246" s="1765">
        <f>IFERROR(HLOOKUP(D$243,$D$229:$AP$235,4,FALSE),1)</f>
        <v>0.6003398318726525</v>
      </c>
      <c r="E246" s="1765">
        <f t="shared" ref="E246:R246" si="102">IFERROR(HLOOKUP(E$243,$D$229:$AP$235,4,FALSE),1)</f>
        <v>0.57199069933822211</v>
      </c>
      <c r="F246" s="1765">
        <f t="shared" si="102"/>
        <v>0.54364156680379172</v>
      </c>
      <c r="G246" s="1765">
        <f t="shared" si="102"/>
        <v>0.51529243426936133</v>
      </c>
      <c r="H246" s="1765">
        <f t="shared" si="102"/>
        <v>0.48694330173493094</v>
      </c>
      <c r="I246" s="1765">
        <f t="shared" si="102"/>
        <v>0.45859416920050056</v>
      </c>
      <c r="J246" s="1765">
        <f t="shared" si="102"/>
        <v>0.43024503666607022</v>
      </c>
      <c r="K246" s="1765">
        <f t="shared" si="102"/>
        <v>0.40189590413163989</v>
      </c>
      <c r="L246" s="1765">
        <f t="shared" si="102"/>
        <v>0.37354677159720956</v>
      </c>
      <c r="M246" s="1765">
        <f t="shared" si="102"/>
        <v>0.34519763906277939</v>
      </c>
      <c r="N246" s="1765">
        <f t="shared" si="102"/>
        <v>0.34519763906277939</v>
      </c>
      <c r="O246" s="1765">
        <f t="shared" si="102"/>
        <v>0.34519763906277939</v>
      </c>
      <c r="P246" s="1765">
        <f t="shared" si="102"/>
        <v>0.34519763906277939</v>
      </c>
      <c r="Q246" s="1765">
        <f t="shared" si="102"/>
        <v>0.34519763906277939</v>
      </c>
      <c r="R246" s="1765">
        <f t="shared" si="102"/>
        <v>0.34519763906277939</v>
      </c>
      <c r="S246" s="585"/>
      <c r="U246" s="299"/>
    </row>
    <row r="247" spans="2:21" ht="13.15" customHeight="1" thickBot="1" x14ac:dyDescent="0.35">
      <c r="B247" s="2068"/>
      <c r="C247" s="1730" t="str">
        <f t="shared" si="100"/>
        <v xml:space="preserve">MHD, metro (na 1 kWh) </v>
      </c>
      <c r="D247" s="1765">
        <f>IFERROR(HLOOKUP(D$243,$D$229:$AP$235,5,FALSE),1)</f>
        <v>0.6003398318726525</v>
      </c>
      <c r="E247" s="1765">
        <f t="shared" ref="E247:R247" si="103">IFERROR(HLOOKUP(E$243,$D$229:$AP$235,5,FALSE),1)</f>
        <v>0.57199069933822211</v>
      </c>
      <c r="F247" s="1765">
        <f t="shared" si="103"/>
        <v>0.54364156680379172</v>
      </c>
      <c r="G247" s="1765">
        <f t="shared" si="103"/>
        <v>0.51529243426936133</v>
      </c>
      <c r="H247" s="1765">
        <f t="shared" si="103"/>
        <v>0.48694330173493094</v>
      </c>
      <c r="I247" s="1765">
        <f t="shared" si="103"/>
        <v>0.45859416920050056</v>
      </c>
      <c r="J247" s="1765">
        <f t="shared" si="103"/>
        <v>0.43024503666607022</v>
      </c>
      <c r="K247" s="1765">
        <f t="shared" si="103"/>
        <v>0.40189590413163989</v>
      </c>
      <c r="L247" s="1765">
        <f t="shared" si="103"/>
        <v>0.37354677159720956</v>
      </c>
      <c r="M247" s="1765">
        <f t="shared" si="103"/>
        <v>0.34519763906277939</v>
      </c>
      <c r="N247" s="1765">
        <f t="shared" si="103"/>
        <v>0.34519763906277939</v>
      </c>
      <c r="O247" s="1765">
        <f t="shared" si="103"/>
        <v>0.34519763906277939</v>
      </c>
      <c r="P247" s="1765">
        <f t="shared" si="103"/>
        <v>0.34519763906277939</v>
      </c>
      <c r="Q247" s="1765">
        <f t="shared" si="103"/>
        <v>0.34519763906277939</v>
      </c>
      <c r="R247" s="1765">
        <f t="shared" si="103"/>
        <v>0.34519763906277939</v>
      </c>
      <c r="S247" s="585"/>
      <c r="U247" s="299"/>
    </row>
    <row r="248" spans="2:21" ht="13.15" customHeight="1" thickBot="1" x14ac:dyDescent="0.35">
      <c r="B248" s="2068"/>
      <c r="C248" s="1730" t="str">
        <f t="shared" si="100"/>
        <v>IAD (město)</v>
      </c>
      <c r="D248" s="1765">
        <f>IFERROR(HLOOKUP(D$243,$D$229:$AP$235,6,FALSE),1)</f>
        <v>0.83080796919513511</v>
      </c>
      <c r="E248" s="1765">
        <f t="shared" ref="E248:R248" si="104">IFERROR(HLOOKUP(E$243,$D$229:$AP$235,6,FALSE),1)</f>
        <v>0.81644369112502235</v>
      </c>
      <c r="F248" s="1765">
        <f t="shared" si="104"/>
        <v>0.801715927281345</v>
      </c>
      <c r="G248" s="1765">
        <f t="shared" si="104"/>
        <v>0.78662467766410304</v>
      </c>
      <c r="H248" s="1765">
        <f t="shared" si="104"/>
        <v>0.77116994227329638</v>
      </c>
      <c r="I248" s="1765">
        <f t="shared" si="104"/>
        <v>0.75405797029511712</v>
      </c>
      <c r="J248" s="1765">
        <f t="shared" si="104"/>
        <v>0.7365446494419603</v>
      </c>
      <c r="K248" s="1765">
        <f t="shared" si="104"/>
        <v>0.71862997971382581</v>
      </c>
      <c r="L248" s="1765">
        <f t="shared" si="104"/>
        <v>0.70031396111071365</v>
      </c>
      <c r="M248" s="1765">
        <f t="shared" si="104"/>
        <v>0.68159659363262382</v>
      </c>
      <c r="N248" s="1765">
        <f t="shared" si="104"/>
        <v>0.68159659363262382</v>
      </c>
      <c r="O248" s="1765">
        <f t="shared" si="104"/>
        <v>0.68159659363262382</v>
      </c>
      <c r="P248" s="1765">
        <f t="shared" si="104"/>
        <v>0.68159659363262382</v>
      </c>
      <c r="Q248" s="1765">
        <f t="shared" si="104"/>
        <v>0.68159659363262382</v>
      </c>
      <c r="R248" s="1765">
        <f t="shared" si="104"/>
        <v>0.68159659363262382</v>
      </c>
      <c r="S248" s="585"/>
      <c r="U248" s="299"/>
    </row>
    <row r="249" spans="2:21" ht="13.15" customHeight="1" thickBot="1" x14ac:dyDescent="0.35">
      <c r="B249" s="2068"/>
      <c r="C249" s="1730" t="str">
        <f t="shared" si="100"/>
        <v xml:space="preserve">jednotkové emise na 1 kWh </v>
      </c>
      <c r="D249" s="1765">
        <f>IFERROR(HLOOKUP(D$243,$D$229:$AP$235,7,FALSE),1)</f>
        <v>0.6003398318726525</v>
      </c>
      <c r="E249" s="1765">
        <f t="shared" ref="E249:R249" si="105">IFERROR(HLOOKUP(E$243,$D$229:$AP$235,7,FALSE),1)</f>
        <v>0.57199069933822211</v>
      </c>
      <c r="F249" s="1765">
        <f t="shared" si="105"/>
        <v>0.54364156680379172</v>
      </c>
      <c r="G249" s="1765">
        <f t="shared" si="105"/>
        <v>0.51529243426936133</v>
      </c>
      <c r="H249" s="1765">
        <f t="shared" si="105"/>
        <v>0.48694330173493094</v>
      </c>
      <c r="I249" s="1765">
        <f t="shared" si="105"/>
        <v>0.45859416920050056</v>
      </c>
      <c r="J249" s="1765">
        <f t="shared" si="105"/>
        <v>0.43024503666607022</v>
      </c>
      <c r="K249" s="1765">
        <f t="shared" si="105"/>
        <v>0.40189590413163989</v>
      </c>
      <c r="L249" s="1765">
        <f t="shared" si="105"/>
        <v>0.37354677159720956</v>
      </c>
      <c r="M249" s="1765">
        <f t="shared" si="105"/>
        <v>0.34519763906277939</v>
      </c>
      <c r="N249" s="1765">
        <f t="shared" si="105"/>
        <v>0.34519763906277939</v>
      </c>
      <c r="O249" s="1765">
        <f t="shared" si="105"/>
        <v>0.34519763906277939</v>
      </c>
      <c r="P249" s="1765">
        <f t="shared" si="105"/>
        <v>0.34519763906277939</v>
      </c>
      <c r="Q249" s="1765">
        <f t="shared" si="105"/>
        <v>0.34519763906277939</v>
      </c>
      <c r="R249" s="1765">
        <f t="shared" si="105"/>
        <v>0.34519763906277939</v>
      </c>
      <c r="S249" s="585"/>
      <c r="U249" s="299"/>
    </row>
    <row r="250" spans="2:21" ht="13.15" customHeight="1" x14ac:dyDescent="0.3">
      <c r="B250" s="1387"/>
      <c r="C250" s="1717"/>
      <c r="D250" s="1240"/>
      <c r="E250" s="1240"/>
      <c r="F250" s="1240"/>
      <c r="G250" s="1240"/>
      <c r="H250" s="1386"/>
      <c r="I250" s="1386"/>
      <c r="J250" s="1386"/>
      <c r="K250" s="1386"/>
      <c r="L250" s="1386"/>
      <c r="M250" s="1386"/>
      <c r="N250" s="585"/>
      <c r="O250" s="585"/>
      <c r="P250" s="585"/>
      <c r="Q250" s="585"/>
      <c r="R250" s="585"/>
      <c r="S250" s="585"/>
    </row>
    <row r="251" spans="2:21" ht="13.15" customHeight="1" thickBot="1" x14ac:dyDescent="0.35">
      <c r="B251" s="1387"/>
      <c r="C251" s="1717"/>
      <c r="D251" s="1240"/>
      <c r="E251" s="1240"/>
      <c r="F251" s="1240"/>
      <c r="G251" s="1240"/>
      <c r="H251" s="1386"/>
      <c r="I251" s="1386"/>
      <c r="J251" s="1386"/>
      <c r="K251" s="1386"/>
      <c r="L251" s="1386"/>
      <c r="M251" s="1386"/>
      <c r="N251" s="585"/>
      <c r="O251" s="585"/>
      <c r="P251" s="585"/>
      <c r="Q251" s="585"/>
      <c r="R251" s="585"/>
      <c r="S251" s="585"/>
    </row>
    <row r="252" spans="2:21" ht="14.25" customHeight="1" x14ac:dyDescent="0.3">
      <c r="B252" s="2001" t="s">
        <v>1628</v>
      </c>
      <c r="C252" s="2002"/>
      <c r="D252" s="2002"/>
      <c r="E252" s="2002"/>
      <c r="F252" s="2002"/>
      <c r="G252" s="2002"/>
      <c r="H252" s="2002"/>
      <c r="I252" s="2002"/>
      <c r="J252" s="2002"/>
      <c r="K252" s="2002"/>
      <c r="L252" s="2002"/>
      <c r="M252" s="2002"/>
      <c r="N252" s="2002"/>
      <c r="O252" s="2002"/>
      <c r="P252" s="2002"/>
      <c r="Q252" s="2002"/>
      <c r="R252" s="2002"/>
      <c r="S252" s="2003"/>
    </row>
    <row r="253" spans="2:21" ht="15" customHeight="1" thickBot="1" x14ac:dyDescent="0.35">
      <c r="B253" s="2177"/>
      <c r="C253" s="2005"/>
      <c r="D253" s="2005"/>
      <c r="E253" s="2005"/>
      <c r="F253" s="2005"/>
      <c r="G253" s="2005"/>
      <c r="H253" s="2005"/>
      <c r="I253" s="2005"/>
      <c r="J253" s="2005"/>
      <c r="K253" s="2005"/>
      <c r="L253" s="2005"/>
      <c r="M253" s="2005"/>
      <c r="N253" s="2005"/>
      <c r="O253" s="2005"/>
      <c r="P253" s="2005"/>
      <c r="Q253" s="2005"/>
      <c r="R253" s="2005"/>
      <c r="S253" s="2006"/>
    </row>
    <row r="254" spans="2:21" ht="15" thickBot="1" x14ac:dyDescent="0.35">
      <c r="B254" s="633" t="s">
        <v>1565</v>
      </c>
      <c r="C254" s="1505"/>
      <c r="D254" s="1506"/>
      <c r="E254" s="1506"/>
      <c r="F254" s="1506"/>
      <c r="G254" s="1507"/>
      <c r="H254" s="1506"/>
      <c r="I254" s="1506"/>
      <c r="J254" s="1506"/>
      <c r="K254" s="1506"/>
      <c r="L254" s="1506"/>
      <c r="M254" s="1506"/>
      <c r="N254" s="1506"/>
      <c r="O254" s="1506"/>
      <c r="P254" s="1506"/>
      <c r="Q254" s="1508"/>
      <c r="R254" s="1508"/>
      <c r="S254" s="1509"/>
    </row>
    <row r="255" spans="2:21" ht="13.15" customHeight="1" x14ac:dyDescent="0.3">
      <c r="B255" s="1387"/>
      <c r="C255" s="1717"/>
      <c r="D255" s="1240"/>
      <c r="E255" s="1240"/>
      <c r="F255" s="1240"/>
      <c r="G255" s="1240"/>
      <c r="H255" s="1386"/>
      <c r="I255" s="1386"/>
      <c r="J255" s="1386"/>
      <c r="K255" s="1386"/>
      <c r="L255" s="1386"/>
      <c r="M255" s="1386"/>
      <c r="N255" s="585"/>
      <c r="O255" s="585"/>
      <c r="P255" s="585"/>
      <c r="Q255" s="585"/>
      <c r="R255" s="585"/>
      <c r="S255" s="585"/>
    </row>
    <row r="256" spans="2:21" ht="14.25" x14ac:dyDescent="0.3">
      <c r="B256" s="1387"/>
      <c r="C256" s="1717"/>
      <c r="D256" s="1240"/>
      <c r="E256" s="1240"/>
      <c r="F256" s="1240"/>
      <c r="G256" s="1240"/>
      <c r="H256" s="1386"/>
      <c r="I256" s="1386"/>
      <c r="J256" s="1386"/>
      <c r="K256" s="1386"/>
      <c r="L256" s="1386"/>
      <c r="M256" s="1386"/>
      <c r="N256" s="585"/>
      <c r="O256" s="585"/>
    </row>
    <row r="257" spans="1:29" ht="14.25" hidden="1" x14ac:dyDescent="0.3">
      <c r="B257" s="1387"/>
      <c r="C257" s="1717"/>
      <c r="D257" s="1240"/>
      <c r="E257" s="1240"/>
      <c r="F257" s="1240"/>
      <c r="G257" s="1240"/>
      <c r="H257" s="1386"/>
      <c r="I257" s="1386"/>
      <c r="J257" s="1386"/>
      <c r="K257" s="1386"/>
      <c r="L257" s="1386"/>
      <c r="M257" s="1386"/>
      <c r="N257" s="585"/>
      <c r="O257" s="585"/>
    </row>
    <row r="258" spans="1:29" ht="14.25" hidden="1" x14ac:dyDescent="0.3">
      <c r="B258" s="1387"/>
      <c r="C258" s="1717"/>
      <c r="D258" s="1240"/>
      <c r="E258" s="1240"/>
      <c r="F258" s="1240"/>
      <c r="G258" s="1240"/>
      <c r="H258" s="1386"/>
      <c r="I258" s="1386"/>
      <c r="J258" s="1386"/>
      <c r="K258" s="1386"/>
      <c r="L258" s="1386"/>
      <c r="M258" s="1386"/>
      <c r="N258" s="585"/>
      <c r="O258" s="585"/>
    </row>
    <row r="259" spans="1:29" ht="15" hidden="1" thickBot="1" x14ac:dyDescent="0.35">
      <c r="B259" s="1387"/>
      <c r="C259" s="1717"/>
      <c r="D259" s="1240"/>
      <c r="E259" s="1240"/>
      <c r="F259" s="1240"/>
      <c r="G259" s="1240"/>
      <c r="H259" s="1386"/>
      <c r="I259" s="1386"/>
      <c r="J259" s="1386"/>
      <c r="K259" s="1386"/>
      <c r="L259" s="1386"/>
      <c r="M259" s="1386"/>
      <c r="N259" s="585"/>
      <c r="O259" s="585"/>
    </row>
    <row r="260" spans="1:29" ht="14.25" hidden="1" x14ac:dyDescent="0.3">
      <c r="A260" s="245"/>
      <c r="B260" s="290" t="s">
        <v>1577</v>
      </c>
      <c r="C260" s="272" t="s">
        <v>1575</v>
      </c>
      <c r="D260" s="274"/>
      <c r="E260" s="2129">
        <f>E2</f>
        <v>2026</v>
      </c>
      <c r="F260" s="2127">
        <f t="shared" ref="F260" si="106">E260+1</f>
        <v>2027</v>
      </c>
      <c r="G260" s="2127">
        <f t="shared" ref="G260" si="107">F260+1</f>
        <v>2028</v>
      </c>
      <c r="H260" s="2127">
        <f t="shared" ref="H260" si="108">G260+1</f>
        <v>2029</v>
      </c>
      <c r="I260" s="2127">
        <f t="shared" ref="I260" si="109">H260+1</f>
        <v>2030</v>
      </c>
      <c r="J260" s="2127">
        <f t="shared" ref="J260" si="110">I260+1</f>
        <v>2031</v>
      </c>
      <c r="K260" s="2127">
        <f t="shared" ref="K260" si="111">J260+1</f>
        <v>2032</v>
      </c>
      <c r="L260" s="2127">
        <f t="shared" ref="L260" si="112">K260+1</f>
        <v>2033</v>
      </c>
      <c r="M260" s="2127">
        <f t="shared" ref="M260" si="113">L260+1</f>
        <v>2034</v>
      </c>
      <c r="N260" s="2127">
        <f t="shared" ref="N260" si="114">M260+1</f>
        <v>2035</v>
      </c>
      <c r="O260" s="2127">
        <f t="shared" ref="O260" si="115">N260+1</f>
        <v>2036</v>
      </c>
      <c r="P260" s="2127">
        <f>O260+1</f>
        <v>2037</v>
      </c>
      <c r="Q260" s="2127">
        <f t="shared" ref="Q260" si="116">P260+1</f>
        <v>2038</v>
      </c>
      <c r="R260" s="2127">
        <f t="shared" ref="R260" si="117">Q260+1</f>
        <v>2039</v>
      </c>
      <c r="S260" s="2125">
        <f t="shared" ref="S260" si="118">R260+1</f>
        <v>2040</v>
      </c>
      <c r="T260" s="247"/>
      <c r="U260" s="247"/>
      <c r="V260" s="247"/>
      <c r="W260" s="247"/>
      <c r="X260" s="247"/>
      <c r="Y260" s="247"/>
      <c r="Z260" s="247"/>
      <c r="AA260" s="247"/>
      <c r="AB260" s="247"/>
      <c r="AC260" s="247"/>
    </row>
    <row r="261" spans="1:29" ht="14.25" hidden="1" x14ac:dyDescent="0.3">
      <c r="A261" s="245"/>
      <c r="B261" s="257" t="s">
        <v>4</v>
      </c>
      <c r="C261" s="590" t="str">
        <f>IF('0 Úvod'!$M$10="English",Slovnik!D444,Slovnik!C444)</f>
        <v>Celkem</v>
      </c>
      <c r="D261" s="591" t="str">
        <f>IF('0 Úvod'!$M$10="English",Slovnik!$D$284,Slovnik!$C$284)</f>
        <v>Celkem</v>
      </c>
      <c r="E261" s="2134"/>
      <c r="F261" s="2135"/>
      <c r="G261" s="2135"/>
      <c r="H261" s="2135"/>
      <c r="I261" s="2135"/>
      <c r="J261" s="2135"/>
      <c r="K261" s="2135"/>
      <c r="L261" s="2135"/>
      <c r="M261" s="2135"/>
      <c r="N261" s="2135"/>
      <c r="O261" s="2135"/>
      <c r="P261" s="2135"/>
      <c r="Q261" s="2135"/>
      <c r="R261" s="2135"/>
      <c r="S261" s="2136"/>
      <c r="T261" s="247"/>
      <c r="U261" s="247"/>
      <c r="V261" s="247"/>
      <c r="W261" s="247"/>
      <c r="X261" s="247"/>
      <c r="Y261" s="247"/>
      <c r="Z261" s="247"/>
      <c r="AA261" s="247"/>
      <c r="AB261" s="247"/>
      <c r="AC261" s="247"/>
    </row>
    <row r="262" spans="1:29" ht="14.25" hidden="1" x14ac:dyDescent="0.3">
      <c r="A262" s="245"/>
      <c r="B262" s="1345" t="s">
        <v>438</v>
      </c>
      <c r="C262" s="136" t="s">
        <v>1602</v>
      </c>
      <c r="D262" s="1346">
        <f>SUM(E262:S262,E272:S272)</f>
        <v>0</v>
      </c>
      <c r="E262" s="1347">
        <f t="shared" ref="E262:S262" si="119">E4/D$106</f>
        <v>0</v>
      </c>
      <c r="F262" s="1347">
        <f t="shared" si="119"/>
        <v>0</v>
      </c>
      <c r="G262" s="1347">
        <f t="shared" si="119"/>
        <v>0</v>
      </c>
      <c r="H262" s="1347">
        <f t="shared" si="119"/>
        <v>0</v>
      </c>
      <c r="I262" s="1347">
        <f t="shared" si="119"/>
        <v>0</v>
      </c>
      <c r="J262" s="1347">
        <f t="shared" si="119"/>
        <v>0</v>
      </c>
      <c r="K262" s="1347">
        <f t="shared" si="119"/>
        <v>0</v>
      </c>
      <c r="L262" s="1347">
        <f t="shared" si="119"/>
        <v>0</v>
      </c>
      <c r="M262" s="1347">
        <f t="shared" si="119"/>
        <v>0</v>
      </c>
      <c r="N262" s="1347">
        <f t="shared" si="119"/>
        <v>0</v>
      </c>
      <c r="O262" s="1347">
        <f t="shared" si="119"/>
        <v>0</v>
      </c>
      <c r="P262" s="1347">
        <f t="shared" si="119"/>
        <v>0</v>
      </c>
      <c r="Q262" s="1347">
        <f t="shared" si="119"/>
        <v>0</v>
      </c>
      <c r="R262" s="1347">
        <f t="shared" si="119"/>
        <v>0</v>
      </c>
      <c r="S262" s="1347">
        <f t="shared" si="119"/>
        <v>0</v>
      </c>
      <c r="T262" s="236"/>
      <c r="U262" s="236"/>
      <c r="V262" s="236"/>
      <c r="W262" s="236"/>
      <c r="X262" s="236"/>
      <c r="Y262" s="236"/>
      <c r="Z262" s="236"/>
      <c r="AA262" s="236"/>
      <c r="AB262" s="236"/>
      <c r="AC262" s="236"/>
    </row>
    <row r="263" spans="1:29" s="289" customFormat="1" ht="14.25" hidden="1" x14ac:dyDescent="0.3">
      <c r="A263" s="287"/>
      <c r="B263" s="1345" t="s">
        <v>1448</v>
      </c>
      <c r="C263" s="136" t="s">
        <v>1602</v>
      </c>
      <c r="D263" s="1346">
        <f t="shared" ref="D263:D267" si="120">SUM(E263:S263,E273:S273)</f>
        <v>0</v>
      </c>
      <c r="E263" s="1347">
        <f t="shared" ref="E263:S263" si="121">E5/D$106</f>
        <v>0</v>
      </c>
      <c r="F263" s="1347">
        <f t="shared" si="121"/>
        <v>0</v>
      </c>
      <c r="G263" s="1347">
        <f t="shared" si="121"/>
        <v>0</v>
      </c>
      <c r="H263" s="1347">
        <f t="shared" si="121"/>
        <v>0</v>
      </c>
      <c r="I263" s="1347">
        <f t="shared" si="121"/>
        <v>0</v>
      </c>
      <c r="J263" s="1347">
        <f t="shared" si="121"/>
        <v>0</v>
      </c>
      <c r="K263" s="1347">
        <f t="shared" si="121"/>
        <v>0</v>
      </c>
      <c r="L263" s="1347">
        <f t="shared" si="121"/>
        <v>0</v>
      </c>
      <c r="M263" s="1347">
        <f t="shared" si="121"/>
        <v>0</v>
      </c>
      <c r="N263" s="1347">
        <f t="shared" si="121"/>
        <v>0</v>
      </c>
      <c r="O263" s="1347">
        <f t="shared" si="121"/>
        <v>0</v>
      </c>
      <c r="P263" s="1347">
        <f t="shared" si="121"/>
        <v>0</v>
      </c>
      <c r="Q263" s="1347">
        <f t="shared" si="121"/>
        <v>0</v>
      </c>
      <c r="R263" s="1347">
        <f t="shared" si="121"/>
        <v>0</v>
      </c>
      <c r="S263" s="1347">
        <f t="shared" si="121"/>
        <v>0</v>
      </c>
      <c r="T263" s="288"/>
      <c r="U263" s="288"/>
      <c r="V263" s="288"/>
      <c r="W263" s="288"/>
      <c r="X263" s="288"/>
      <c r="Y263" s="288"/>
      <c r="Z263" s="288"/>
      <c r="AA263" s="288"/>
      <c r="AB263" s="288"/>
      <c r="AC263" s="288"/>
    </row>
    <row r="264" spans="1:29" ht="14.25" hidden="1" customHeight="1" x14ac:dyDescent="0.3">
      <c r="A264" s="245"/>
      <c r="B264" s="1345" t="s">
        <v>1449</v>
      </c>
      <c r="C264" s="136" t="s">
        <v>1602</v>
      </c>
      <c r="D264" s="1346">
        <f t="shared" si="120"/>
        <v>0</v>
      </c>
      <c r="E264" s="1347">
        <f t="shared" ref="E264:S264" si="122">E6/D$106</f>
        <v>0</v>
      </c>
      <c r="F264" s="1347">
        <f t="shared" si="122"/>
        <v>0</v>
      </c>
      <c r="G264" s="1347">
        <f t="shared" si="122"/>
        <v>0</v>
      </c>
      <c r="H264" s="1347">
        <f t="shared" si="122"/>
        <v>0</v>
      </c>
      <c r="I264" s="1347">
        <f t="shared" si="122"/>
        <v>0</v>
      </c>
      <c r="J264" s="1347">
        <f t="shared" si="122"/>
        <v>0</v>
      </c>
      <c r="K264" s="1347">
        <f t="shared" si="122"/>
        <v>0</v>
      </c>
      <c r="L264" s="1347">
        <f t="shared" si="122"/>
        <v>0</v>
      </c>
      <c r="M264" s="1347">
        <f t="shared" si="122"/>
        <v>0</v>
      </c>
      <c r="N264" s="1347">
        <f t="shared" si="122"/>
        <v>0</v>
      </c>
      <c r="O264" s="1347">
        <f t="shared" si="122"/>
        <v>0</v>
      </c>
      <c r="P264" s="1347">
        <f t="shared" si="122"/>
        <v>0</v>
      </c>
      <c r="Q264" s="1347">
        <f t="shared" si="122"/>
        <v>0</v>
      </c>
      <c r="R264" s="1347">
        <f t="shared" si="122"/>
        <v>0</v>
      </c>
      <c r="S264" s="1347">
        <f t="shared" si="122"/>
        <v>0</v>
      </c>
      <c r="T264" s="236"/>
      <c r="U264" s="236"/>
      <c r="V264" s="236"/>
      <c r="W264" s="236"/>
      <c r="X264" s="236"/>
      <c r="Y264" s="236"/>
      <c r="Z264" s="236"/>
      <c r="AA264" s="236"/>
      <c r="AB264" s="236"/>
      <c r="AC264" s="236"/>
    </row>
    <row r="265" spans="1:29" s="289" customFormat="1" ht="14.25" hidden="1" x14ac:dyDescent="0.3">
      <c r="A265" s="287"/>
      <c r="B265" s="1345" t="s">
        <v>1450</v>
      </c>
      <c r="C265" s="136" t="s">
        <v>1602</v>
      </c>
      <c r="D265" s="1346">
        <f t="shared" si="120"/>
        <v>0</v>
      </c>
      <c r="E265" s="1347">
        <f t="shared" ref="E265:S265" si="123">E7/D$106</f>
        <v>0</v>
      </c>
      <c r="F265" s="1347">
        <f t="shared" si="123"/>
        <v>0</v>
      </c>
      <c r="G265" s="1347">
        <f t="shared" si="123"/>
        <v>0</v>
      </c>
      <c r="H265" s="1347">
        <f t="shared" si="123"/>
        <v>0</v>
      </c>
      <c r="I265" s="1347">
        <f t="shared" si="123"/>
        <v>0</v>
      </c>
      <c r="J265" s="1347">
        <f t="shared" si="123"/>
        <v>0</v>
      </c>
      <c r="K265" s="1347">
        <f t="shared" si="123"/>
        <v>0</v>
      </c>
      <c r="L265" s="1347">
        <f t="shared" si="123"/>
        <v>0</v>
      </c>
      <c r="M265" s="1347">
        <f t="shared" si="123"/>
        <v>0</v>
      </c>
      <c r="N265" s="1347">
        <f t="shared" si="123"/>
        <v>0</v>
      </c>
      <c r="O265" s="1347">
        <f t="shared" si="123"/>
        <v>0</v>
      </c>
      <c r="P265" s="1347">
        <f t="shared" si="123"/>
        <v>0</v>
      </c>
      <c r="Q265" s="1347">
        <f t="shared" si="123"/>
        <v>0</v>
      </c>
      <c r="R265" s="1347">
        <f t="shared" si="123"/>
        <v>0</v>
      </c>
      <c r="S265" s="1347">
        <f t="shared" si="123"/>
        <v>0</v>
      </c>
      <c r="T265" s="288"/>
      <c r="U265" s="288"/>
      <c r="V265" s="288"/>
      <c r="W265" s="288"/>
      <c r="X265" s="288"/>
      <c r="Y265" s="288"/>
      <c r="Z265" s="288"/>
      <c r="AA265" s="288"/>
      <c r="AB265" s="288"/>
      <c r="AC265" s="288"/>
    </row>
    <row r="266" spans="1:29" s="289" customFormat="1" ht="14.25" hidden="1" x14ac:dyDescent="0.3">
      <c r="A266" s="287"/>
      <c r="B266" s="1345" t="s">
        <v>439</v>
      </c>
      <c r="C266" s="136" t="s">
        <v>1602</v>
      </c>
      <c r="D266" s="1346">
        <f t="shared" si="120"/>
        <v>0</v>
      </c>
      <c r="E266" s="1347">
        <f t="shared" ref="E266:S266" si="124">E8/D$106</f>
        <v>0</v>
      </c>
      <c r="F266" s="1347">
        <f t="shared" si="124"/>
        <v>0</v>
      </c>
      <c r="G266" s="1347">
        <f t="shared" si="124"/>
        <v>0</v>
      </c>
      <c r="H266" s="1347">
        <f t="shared" si="124"/>
        <v>0</v>
      </c>
      <c r="I266" s="1347">
        <f t="shared" si="124"/>
        <v>0</v>
      </c>
      <c r="J266" s="1347">
        <f t="shared" si="124"/>
        <v>0</v>
      </c>
      <c r="K266" s="1347">
        <f t="shared" si="124"/>
        <v>0</v>
      </c>
      <c r="L266" s="1347">
        <f t="shared" si="124"/>
        <v>0</v>
      </c>
      <c r="M266" s="1347">
        <f t="shared" si="124"/>
        <v>0</v>
      </c>
      <c r="N266" s="1347">
        <f t="shared" si="124"/>
        <v>0</v>
      </c>
      <c r="O266" s="1347">
        <f t="shared" si="124"/>
        <v>0</v>
      </c>
      <c r="P266" s="1347">
        <f t="shared" si="124"/>
        <v>0</v>
      </c>
      <c r="Q266" s="1347">
        <f t="shared" si="124"/>
        <v>0</v>
      </c>
      <c r="R266" s="1347">
        <f t="shared" si="124"/>
        <v>0</v>
      </c>
      <c r="S266" s="1347">
        <f t="shared" si="124"/>
        <v>0</v>
      </c>
      <c r="T266" s="288"/>
      <c r="U266" s="288"/>
      <c r="V266" s="288"/>
      <c r="W266" s="288"/>
      <c r="X266" s="288"/>
      <c r="Y266" s="288"/>
      <c r="Z266" s="288"/>
      <c r="AA266" s="288"/>
      <c r="AB266" s="288"/>
      <c r="AC266" s="288"/>
    </row>
    <row r="267" spans="1:29" s="289" customFormat="1" ht="14.25" hidden="1" x14ac:dyDescent="0.3">
      <c r="A267" s="287"/>
      <c r="B267" s="1345" t="s">
        <v>1483</v>
      </c>
      <c r="C267" s="136" t="s">
        <v>1602</v>
      </c>
      <c r="D267" s="1346">
        <f t="shared" si="120"/>
        <v>0</v>
      </c>
      <c r="E267" s="1347">
        <f t="shared" ref="E267:S267" si="125">E9/D$106</f>
        <v>0</v>
      </c>
      <c r="F267" s="1347">
        <f t="shared" si="125"/>
        <v>0</v>
      </c>
      <c r="G267" s="1347">
        <f t="shared" si="125"/>
        <v>0</v>
      </c>
      <c r="H267" s="1347">
        <f t="shared" si="125"/>
        <v>0</v>
      </c>
      <c r="I267" s="1347">
        <f t="shared" si="125"/>
        <v>0</v>
      </c>
      <c r="J267" s="1347">
        <f t="shared" si="125"/>
        <v>0</v>
      </c>
      <c r="K267" s="1347">
        <f t="shared" si="125"/>
        <v>0</v>
      </c>
      <c r="L267" s="1347">
        <f t="shared" si="125"/>
        <v>0</v>
      </c>
      <c r="M267" s="1347">
        <f t="shared" si="125"/>
        <v>0</v>
      </c>
      <c r="N267" s="1347">
        <f t="shared" si="125"/>
        <v>0</v>
      </c>
      <c r="O267" s="1347">
        <f t="shared" si="125"/>
        <v>0</v>
      </c>
      <c r="P267" s="1347">
        <f t="shared" si="125"/>
        <v>0</v>
      </c>
      <c r="Q267" s="1347">
        <f t="shared" si="125"/>
        <v>0</v>
      </c>
      <c r="R267" s="1347">
        <f t="shared" si="125"/>
        <v>0</v>
      </c>
      <c r="S267" s="1347">
        <f t="shared" si="125"/>
        <v>0</v>
      </c>
      <c r="T267" s="288"/>
      <c r="U267" s="288"/>
      <c r="V267" s="288"/>
      <c r="W267" s="288"/>
      <c r="X267" s="288"/>
      <c r="Y267" s="288"/>
      <c r="Z267" s="288"/>
      <c r="AA267" s="288"/>
      <c r="AB267" s="288"/>
      <c r="AC267" s="288"/>
    </row>
    <row r="268" spans="1:29" ht="15" hidden="1" thickBot="1" x14ac:dyDescent="0.35">
      <c r="A268" s="245"/>
      <c r="B268" s="582"/>
      <c r="C268" s="240" t="s">
        <v>1576</v>
      </c>
      <c r="D268" s="241">
        <f>SUM(E268:S268,E278:S278)</f>
        <v>0</v>
      </c>
      <c r="E268" s="615">
        <f>SUM(E262:E267)</f>
        <v>0</v>
      </c>
      <c r="F268" s="616">
        <f t="shared" ref="F268:S268" si="126">SUM(F262:F267)</f>
        <v>0</v>
      </c>
      <c r="G268" s="616">
        <f t="shared" si="126"/>
        <v>0</v>
      </c>
      <c r="H268" s="616">
        <f t="shared" si="126"/>
        <v>0</v>
      </c>
      <c r="I268" s="616">
        <f t="shared" si="126"/>
        <v>0</v>
      </c>
      <c r="J268" s="616">
        <f t="shared" si="126"/>
        <v>0</v>
      </c>
      <c r="K268" s="616">
        <f t="shared" si="126"/>
        <v>0</v>
      </c>
      <c r="L268" s="616">
        <f t="shared" si="126"/>
        <v>0</v>
      </c>
      <c r="M268" s="616">
        <f t="shared" si="126"/>
        <v>0</v>
      </c>
      <c r="N268" s="616">
        <f t="shared" si="126"/>
        <v>0</v>
      </c>
      <c r="O268" s="616">
        <f t="shared" si="126"/>
        <v>0</v>
      </c>
      <c r="P268" s="616">
        <f t="shared" si="126"/>
        <v>0</v>
      </c>
      <c r="Q268" s="616">
        <f t="shared" si="126"/>
        <v>0</v>
      </c>
      <c r="R268" s="616">
        <f t="shared" si="126"/>
        <v>0</v>
      </c>
      <c r="S268" s="617">
        <f t="shared" si="126"/>
        <v>0</v>
      </c>
      <c r="T268" s="237"/>
      <c r="U268" s="237"/>
      <c r="V268" s="237"/>
      <c r="W268" s="237"/>
      <c r="X268" s="237"/>
      <c r="Y268" s="237"/>
      <c r="Z268" s="237"/>
      <c r="AA268" s="237"/>
      <c r="AB268" s="237"/>
      <c r="AC268" s="237"/>
    </row>
    <row r="269" spans="1:29" ht="14.25" hidden="1" thickBot="1" x14ac:dyDescent="0.35">
      <c r="A269" s="245"/>
      <c r="B269" s="1349"/>
      <c r="C269" s="1165"/>
      <c r="D269" s="1167"/>
      <c r="E269" s="1167"/>
      <c r="F269" s="1167"/>
      <c r="G269" s="1167"/>
      <c r="H269" s="1167"/>
      <c r="I269" s="1167"/>
      <c r="J269" s="1167"/>
      <c r="K269" s="1167"/>
      <c r="L269" s="1167"/>
      <c r="M269" s="1167"/>
      <c r="N269" s="1167"/>
      <c r="O269" s="1167"/>
      <c r="P269" s="1167"/>
      <c r="Q269" s="1167"/>
      <c r="R269" s="1167"/>
      <c r="S269" s="1167"/>
      <c r="T269" s="236"/>
      <c r="U269" s="236"/>
      <c r="V269" s="236"/>
      <c r="W269" s="236"/>
      <c r="X269" s="236"/>
      <c r="Y269" s="236"/>
      <c r="Z269" s="236"/>
      <c r="AA269" s="236"/>
      <c r="AB269" s="236"/>
      <c r="AC269" s="236"/>
    </row>
    <row r="270" spans="1:29" ht="14.25" hidden="1" x14ac:dyDescent="0.3">
      <c r="A270" s="245"/>
      <c r="B270" s="290" t="str">
        <f>B260</f>
        <v>pom.</v>
      </c>
      <c r="C270" s="272" t="str">
        <f>C260</f>
        <v>emise CO2 (t)</v>
      </c>
      <c r="D270" s="274"/>
      <c r="E270" s="2127">
        <f>S260+1</f>
        <v>2041</v>
      </c>
      <c r="F270" s="2127">
        <f t="shared" ref="F270" si="127">E270+1</f>
        <v>2042</v>
      </c>
      <c r="G270" s="2127">
        <f t="shared" ref="G270" si="128">F270+1</f>
        <v>2043</v>
      </c>
      <c r="H270" s="2127">
        <f t="shared" ref="H270" si="129">G270+1</f>
        <v>2044</v>
      </c>
      <c r="I270" s="2127">
        <f t="shared" ref="I270" si="130">H270+1</f>
        <v>2045</v>
      </c>
      <c r="J270" s="2127">
        <f t="shared" ref="J270" si="131">I270+1</f>
        <v>2046</v>
      </c>
      <c r="K270" s="2127">
        <f t="shared" ref="K270" si="132">J270+1</f>
        <v>2047</v>
      </c>
      <c r="L270" s="2127">
        <f t="shared" ref="L270" si="133">K270+1</f>
        <v>2048</v>
      </c>
      <c r="M270" s="2127">
        <f t="shared" ref="M270" si="134">L270+1</f>
        <v>2049</v>
      </c>
      <c r="N270" s="2127">
        <f t="shared" ref="N270" si="135">M270+1</f>
        <v>2050</v>
      </c>
      <c r="O270" s="2127">
        <f t="shared" ref="O270" si="136">N270+1</f>
        <v>2051</v>
      </c>
      <c r="P270" s="2127">
        <f>O270+1</f>
        <v>2052</v>
      </c>
      <c r="Q270" s="2127">
        <f t="shared" ref="Q270" si="137">P270+1</f>
        <v>2053</v>
      </c>
      <c r="R270" s="2127">
        <f t="shared" ref="R270" si="138">Q270+1</f>
        <v>2054</v>
      </c>
      <c r="S270" s="2125">
        <f t="shared" ref="S270" si="139">R270+1</f>
        <v>2055</v>
      </c>
      <c r="T270" s="247"/>
      <c r="U270" s="247"/>
      <c r="V270" s="247"/>
      <c r="W270" s="247"/>
      <c r="X270" s="247"/>
      <c r="Y270" s="247"/>
      <c r="Z270" s="247"/>
      <c r="AA270" s="247"/>
      <c r="AB270" s="247"/>
      <c r="AC270" s="247"/>
    </row>
    <row r="271" spans="1:29" ht="14.25" hidden="1" x14ac:dyDescent="0.3">
      <c r="A271" s="245"/>
      <c r="B271" s="257" t="s">
        <v>5</v>
      </c>
      <c r="C271" s="590" t="str">
        <f t="shared" ref="C271:C278" si="140">C261</f>
        <v>Celkem</v>
      </c>
      <c r="D271" s="591"/>
      <c r="E271" s="2135"/>
      <c r="F271" s="2135"/>
      <c r="G271" s="2135"/>
      <c r="H271" s="2135"/>
      <c r="I271" s="2135"/>
      <c r="J271" s="2135"/>
      <c r="K271" s="2135"/>
      <c r="L271" s="2135"/>
      <c r="M271" s="2135"/>
      <c r="N271" s="2135"/>
      <c r="O271" s="2135"/>
      <c r="P271" s="2135"/>
      <c r="Q271" s="2135"/>
      <c r="R271" s="2135"/>
      <c r="S271" s="2136"/>
      <c r="T271" s="247"/>
      <c r="U271" s="247"/>
      <c r="V271" s="247"/>
      <c r="W271" s="247"/>
      <c r="X271" s="247"/>
      <c r="Y271" s="247"/>
      <c r="Z271" s="247"/>
      <c r="AA271" s="247"/>
      <c r="AB271" s="247"/>
      <c r="AC271" s="247"/>
    </row>
    <row r="272" spans="1:29" ht="12" hidden="1" customHeight="1" x14ac:dyDescent="0.3">
      <c r="A272" s="245"/>
      <c r="B272" s="1359" t="str">
        <f t="shared" ref="B272:B277" si="141">B262</f>
        <v>BUS</v>
      </c>
      <c r="C272" s="1351" t="str">
        <f t="shared" si="140"/>
        <v>Znečištění ovzduší (klima)</v>
      </c>
      <c r="D272" s="1346"/>
      <c r="E272" s="1347">
        <f t="shared" ref="E272:S272" si="142">E14/D$109</f>
        <v>0</v>
      </c>
      <c r="F272" s="1347">
        <f t="shared" si="142"/>
        <v>0</v>
      </c>
      <c r="G272" s="1347">
        <f t="shared" si="142"/>
        <v>0</v>
      </c>
      <c r="H272" s="1347">
        <f t="shared" si="142"/>
        <v>0</v>
      </c>
      <c r="I272" s="1347">
        <f t="shared" si="142"/>
        <v>0</v>
      </c>
      <c r="J272" s="1347">
        <f t="shared" si="142"/>
        <v>0</v>
      </c>
      <c r="K272" s="1347">
        <f t="shared" si="142"/>
        <v>0</v>
      </c>
      <c r="L272" s="1347">
        <f t="shared" si="142"/>
        <v>0</v>
      </c>
      <c r="M272" s="1347">
        <f t="shared" si="142"/>
        <v>0</v>
      </c>
      <c r="N272" s="1347">
        <f t="shared" si="142"/>
        <v>0</v>
      </c>
      <c r="O272" s="1347">
        <f t="shared" si="142"/>
        <v>0</v>
      </c>
      <c r="P272" s="1347">
        <f t="shared" si="142"/>
        <v>0</v>
      </c>
      <c r="Q272" s="1347">
        <f t="shared" si="142"/>
        <v>0</v>
      </c>
      <c r="R272" s="1347">
        <f t="shared" si="142"/>
        <v>0</v>
      </c>
      <c r="S272" s="1347">
        <f t="shared" si="142"/>
        <v>0</v>
      </c>
      <c r="T272" s="236"/>
      <c r="U272" s="236"/>
      <c r="V272" s="236"/>
      <c r="W272" s="236"/>
      <c r="X272" s="236"/>
      <c r="Y272" s="236"/>
      <c r="Z272" s="236"/>
      <c r="AA272" s="236"/>
      <c r="AB272" s="236"/>
      <c r="AC272" s="236"/>
    </row>
    <row r="273" spans="1:29" s="289" customFormat="1" ht="12" hidden="1" customHeight="1" x14ac:dyDescent="0.3">
      <c r="A273" s="287"/>
      <c r="B273" s="1345" t="str">
        <f t="shared" si="141"/>
        <v>Trolejbus</v>
      </c>
      <c r="C273" s="1353" t="str">
        <f t="shared" si="140"/>
        <v>Znečištění ovzduší (klima)</v>
      </c>
      <c r="D273" s="1346"/>
      <c r="E273" s="1347">
        <f t="shared" ref="E273:S273" si="143">E15/D$109</f>
        <v>0</v>
      </c>
      <c r="F273" s="1347">
        <f t="shared" si="143"/>
        <v>0</v>
      </c>
      <c r="G273" s="1347">
        <f t="shared" si="143"/>
        <v>0</v>
      </c>
      <c r="H273" s="1347">
        <f t="shared" si="143"/>
        <v>0</v>
      </c>
      <c r="I273" s="1347">
        <f t="shared" si="143"/>
        <v>0</v>
      </c>
      <c r="J273" s="1347">
        <f t="shared" si="143"/>
        <v>0</v>
      </c>
      <c r="K273" s="1347">
        <f t="shared" si="143"/>
        <v>0</v>
      </c>
      <c r="L273" s="1347">
        <f t="shared" si="143"/>
        <v>0</v>
      </c>
      <c r="M273" s="1347">
        <f t="shared" si="143"/>
        <v>0</v>
      </c>
      <c r="N273" s="1347">
        <f t="shared" si="143"/>
        <v>0</v>
      </c>
      <c r="O273" s="1347">
        <f t="shared" si="143"/>
        <v>0</v>
      </c>
      <c r="P273" s="1347">
        <f t="shared" si="143"/>
        <v>0</v>
      </c>
      <c r="Q273" s="1347">
        <f t="shared" si="143"/>
        <v>0</v>
      </c>
      <c r="R273" s="1347">
        <f t="shared" si="143"/>
        <v>0</v>
      </c>
      <c r="S273" s="1347">
        <f t="shared" si="143"/>
        <v>0</v>
      </c>
      <c r="T273" s="288"/>
      <c r="U273" s="288"/>
      <c r="V273" s="288"/>
      <c r="W273" s="288"/>
      <c r="X273" s="288"/>
      <c r="Y273" s="288"/>
      <c r="Z273" s="288"/>
      <c r="AA273" s="288"/>
      <c r="AB273" s="288"/>
      <c r="AC273" s="288"/>
    </row>
    <row r="274" spans="1:29" ht="12" hidden="1" customHeight="1" x14ac:dyDescent="0.3">
      <c r="A274" s="245"/>
      <c r="B274" s="1345" t="str">
        <f t="shared" si="141"/>
        <v>Tramvaj</v>
      </c>
      <c r="C274" s="1353" t="str">
        <f t="shared" si="140"/>
        <v>Znečištění ovzduší (klima)</v>
      </c>
      <c r="D274" s="1346"/>
      <c r="E274" s="1347">
        <f t="shared" ref="E274:S274" si="144">E16/D$109</f>
        <v>0</v>
      </c>
      <c r="F274" s="1347">
        <f t="shared" si="144"/>
        <v>0</v>
      </c>
      <c r="G274" s="1347">
        <f t="shared" si="144"/>
        <v>0</v>
      </c>
      <c r="H274" s="1347">
        <f t="shared" si="144"/>
        <v>0</v>
      </c>
      <c r="I274" s="1347">
        <f t="shared" si="144"/>
        <v>0</v>
      </c>
      <c r="J274" s="1347">
        <f t="shared" si="144"/>
        <v>0</v>
      </c>
      <c r="K274" s="1347">
        <f t="shared" si="144"/>
        <v>0</v>
      </c>
      <c r="L274" s="1347">
        <f t="shared" si="144"/>
        <v>0</v>
      </c>
      <c r="M274" s="1347">
        <f t="shared" si="144"/>
        <v>0</v>
      </c>
      <c r="N274" s="1347">
        <f t="shared" si="144"/>
        <v>0</v>
      </c>
      <c r="O274" s="1347">
        <f t="shared" si="144"/>
        <v>0</v>
      </c>
      <c r="P274" s="1347">
        <f t="shared" si="144"/>
        <v>0</v>
      </c>
      <c r="Q274" s="1347">
        <f t="shared" si="144"/>
        <v>0</v>
      </c>
      <c r="R274" s="1347">
        <f t="shared" si="144"/>
        <v>0</v>
      </c>
      <c r="S274" s="1347">
        <f t="shared" si="144"/>
        <v>0</v>
      </c>
      <c r="T274" s="236"/>
      <c r="U274" s="236"/>
      <c r="V274" s="236"/>
      <c r="W274" s="236"/>
      <c r="X274" s="236"/>
      <c r="Y274" s="236"/>
      <c r="Z274" s="236"/>
      <c r="AA274" s="236"/>
      <c r="AB274" s="236"/>
      <c r="AC274" s="236"/>
    </row>
    <row r="275" spans="1:29" s="289" customFormat="1" ht="12" hidden="1" customHeight="1" x14ac:dyDescent="0.3">
      <c r="A275" s="287"/>
      <c r="B275" s="1345" t="str">
        <f t="shared" si="141"/>
        <v>Metro</v>
      </c>
      <c r="C275" s="1353" t="str">
        <f t="shared" si="140"/>
        <v>Znečištění ovzduší (klima)</v>
      </c>
      <c r="D275" s="1346"/>
      <c r="E275" s="1347">
        <f t="shared" ref="E275:S275" si="145">E17/D$109</f>
        <v>0</v>
      </c>
      <c r="F275" s="1347">
        <f t="shared" si="145"/>
        <v>0</v>
      </c>
      <c r="G275" s="1347">
        <f t="shared" si="145"/>
        <v>0</v>
      </c>
      <c r="H275" s="1347">
        <f t="shared" si="145"/>
        <v>0</v>
      </c>
      <c r="I275" s="1347">
        <f t="shared" si="145"/>
        <v>0</v>
      </c>
      <c r="J275" s="1347">
        <f t="shared" si="145"/>
        <v>0</v>
      </c>
      <c r="K275" s="1347">
        <f t="shared" si="145"/>
        <v>0</v>
      </c>
      <c r="L275" s="1347">
        <f t="shared" si="145"/>
        <v>0</v>
      </c>
      <c r="M275" s="1347">
        <f t="shared" si="145"/>
        <v>0</v>
      </c>
      <c r="N275" s="1347">
        <f t="shared" si="145"/>
        <v>0</v>
      </c>
      <c r="O275" s="1347">
        <f t="shared" si="145"/>
        <v>0</v>
      </c>
      <c r="P275" s="1347">
        <f t="shared" si="145"/>
        <v>0</v>
      </c>
      <c r="Q275" s="1347">
        <f t="shared" si="145"/>
        <v>0</v>
      </c>
      <c r="R275" s="1347">
        <f t="shared" si="145"/>
        <v>0</v>
      </c>
      <c r="S275" s="1347">
        <f t="shared" si="145"/>
        <v>0</v>
      </c>
      <c r="T275" s="288"/>
      <c r="U275" s="288"/>
      <c r="V275" s="288"/>
      <c r="W275" s="288"/>
      <c r="X275" s="288"/>
      <c r="Y275" s="288"/>
      <c r="Z275" s="288"/>
      <c r="AA275" s="288"/>
      <c r="AB275" s="288"/>
      <c r="AC275" s="288"/>
    </row>
    <row r="276" spans="1:29" s="289" customFormat="1" ht="12" hidden="1" customHeight="1" x14ac:dyDescent="0.3">
      <c r="A276" s="287"/>
      <c r="B276" s="1345" t="str">
        <f t="shared" si="141"/>
        <v>IAD</v>
      </c>
      <c r="C276" s="1353" t="str">
        <f t="shared" si="140"/>
        <v>Znečištění ovzduší (klima)</v>
      </c>
      <c r="D276" s="1346"/>
      <c r="E276" s="1347">
        <f t="shared" ref="E276:S276" si="146">E18/D$109</f>
        <v>0</v>
      </c>
      <c r="F276" s="1347">
        <f t="shared" si="146"/>
        <v>0</v>
      </c>
      <c r="G276" s="1347">
        <f t="shared" si="146"/>
        <v>0</v>
      </c>
      <c r="H276" s="1347">
        <f t="shared" si="146"/>
        <v>0</v>
      </c>
      <c r="I276" s="1347">
        <f t="shared" si="146"/>
        <v>0</v>
      </c>
      <c r="J276" s="1347">
        <f t="shared" si="146"/>
        <v>0</v>
      </c>
      <c r="K276" s="1347">
        <f t="shared" si="146"/>
        <v>0</v>
      </c>
      <c r="L276" s="1347">
        <f t="shared" si="146"/>
        <v>0</v>
      </c>
      <c r="M276" s="1347">
        <f t="shared" si="146"/>
        <v>0</v>
      </c>
      <c r="N276" s="1347">
        <f t="shared" si="146"/>
        <v>0</v>
      </c>
      <c r="O276" s="1347">
        <f t="shared" si="146"/>
        <v>0</v>
      </c>
      <c r="P276" s="1347">
        <f t="shared" si="146"/>
        <v>0</v>
      </c>
      <c r="Q276" s="1347">
        <f t="shared" si="146"/>
        <v>0</v>
      </c>
      <c r="R276" s="1347">
        <f t="shared" si="146"/>
        <v>0</v>
      </c>
      <c r="S276" s="1347">
        <f t="shared" si="146"/>
        <v>0</v>
      </c>
      <c r="T276" s="288"/>
      <c r="U276" s="288"/>
      <c r="V276" s="288"/>
      <c r="W276" s="288"/>
      <c r="X276" s="288"/>
      <c r="Y276" s="288"/>
      <c r="Z276" s="288"/>
      <c r="AA276" s="288"/>
      <c r="AB276" s="288"/>
      <c r="AC276" s="288"/>
    </row>
    <row r="277" spans="1:29" s="289" customFormat="1" ht="14.25" hidden="1" x14ac:dyDescent="0.3">
      <c r="A277" s="287"/>
      <c r="B277" s="1360" t="str">
        <f t="shared" si="141"/>
        <v>bez rozlišení</v>
      </c>
      <c r="C277" s="1355" t="str">
        <f t="shared" si="140"/>
        <v>Znečištění ovzduší (klima)</v>
      </c>
      <c r="D277" s="1346"/>
      <c r="E277" s="1347">
        <f t="shared" ref="E277:S277" si="147">E19/D$109</f>
        <v>0</v>
      </c>
      <c r="F277" s="1347">
        <f t="shared" si="147"/>
        <v>0</v>
      </c>
      <c r="G277" s="1347">
        <f t="shared" si="147"/>
        <v>0</v>
      </c>
      <c r="H277" s="1347">
        <f t="shared" si="147"/>
        <v>0</v>
      </c>
      <c r="I277" s="1347">
        <f t="shared" si="147"/>
        <v>0</v>
      </c>
      <c r="J277" s="1347">
        <f t="shared" si="147"/>
        <v>0</v>
      </c>
      <c r="K277" s="1347">
        <f t="shared" si="147"/>
        <v>0</v>
      </c>
      <c r="L277" s="1347">
        <f t="shared" si="147"/>
        <v>0</v>
      </c>
      <c r="M277" s="1347">
        <f t="shared" si="147"/>
        <v>0</v>
      </c>
      <c r="N277" s="1347">
        <f t="shared" si="147"/>
        <v>0</v>
      </c>
      <c r="O277" s="1347">
        <f t="shared" si="147"/>
        <v>0</v>
      </c>
      <c r="P277" s="1347">
        <f t="shared" si="147"/>
        <v>0</v>
      </c>
      <c r="Q277" s="1347">
        <f t="shared" si="147"/>
        <v>0</v>
      </c>
      <c r="R277" s="1347">
        <f t="shared" si="147"/>
        <v>0</v>
      </c>
      <c r="S277" s="1347">
        <f t="shared" si="147"/>
        <v>0</v>
      </c>
      <c r="T277" s="288"/>
      <c r="U277" s="288"/>
      <c r="V277" s="288"/>
      <c r="W277" s="288"/>
      <c r="X277" s="288"/>
      <c r="Y277" s="288"/>
      <c r="Z277" s="288"/>
      <c r="AA277" s="288"/>
      <c r="AB277" s="288"/>
      <c r="AC277" s="288"/>
    </row>
    <row r="278" spans="1:29" ht="15" hidden="1" thickBot="1" x14ac:dyDescent="0.35">
      <c r="A278" s="252"/>
      <c r="B278" s="582"/>
      <c r="C278" s="240" t="str">
        <f t="shared" si="140"/>
        <v>emise CO2 (t), celkem</v>
      </c>
      <c r="D278" s="241"/>
      <c r="E278" s="616">
        <f>SUM(E272:E277)</f>
        <v>0</v>
      </c>
      <c r="F278" s="616">
        <f t="shared" ref="F278:S278" si="148">SUM(F272:F277)</f>
        <v>0</v>
      </c>
      <c r="G278" s="616">
        <f t="shared" si="148"/>
        <v>0</v>
      </c>
      <c r="H278" s="616">
        <f t="shared" si="148"/>
        <v>0</v>
      </c>
      <c r="I278" s="616">
        <f t="shared" si="148"/>
        <v>0</v>
      </c>
      <c r="J278" s="616">
        <f t="shared" si="148"/>
        <v>0</v>
      </c>
      <c r="K278" s="616">
        <f t="shared" si="148"/>
        <v>0</v>
      </c>
      <c r="L278" s="616">
        <f t="shared" si="148"/>
        <v>0</v>
      </c>
      <c r="M278" s="616">
        <f t="shared" si="148"/>
        <v>0</v>
      </c>
      <c r="N278" s="616">
        <f t="shared" si="148"/>
        <v>0</v>
      </c>
      <c r="O278" s="616">
        <f t="shared" si="148"/>
        <v>0</v>
      </c>
      <c r="P278" s="616">
        <f t="shared" si="148"/>
        <v>0</v>
      </c>
      <c r="Q278" s="616">
        <f t="shared" si="148"/>
        <v>0</v>
      </c>
      <c r="R278" s="616">
        <f t="shared" si="148"/>
        <v>0</v>
      </c>
      <c r="S278" s="616">
        <f t="shared" si="148"/>
        <v>0</v>
      </c>
      <c r="T278" s="237"/>
      <c r="U278" s="237"/>
      <c r="V278" s="237"/>
      <c r="W278" s="237"/>
      <c r="X278" s="237"/>
      <c r="Y278" s="237"/>
      <c r="Z278" s="237"/>
      <c r="AA278" s="237"/>
      <c r="AB278" s="237"/>
      <c r="AC278" s="237"/>
    </row>
    <row r="279" spans="1:29" ht="14.25" hidden="1" thickBot="1" x14ac:dyDescent="0.35">
      <c r="A279" s="252"/>
      <c r="B279" s="609"/>
      <c r="C279" s="1356"/>
      <c r="D279" s="1167"/>
      <c r="E279" s="1166"/>
      <c r="F279" s="1166"/>
      <c r="G279" s="1166"/>
      <c r="H279" s="1166"/>
      <c r="I279" s="1166"/>
      <c r="J279" s="1166"/>
      <c r="K279" s="1166"/>
      <c r="L279" s="1166"/>
      <c r="M279" s="1166"/>
      <c r="N279" s="1166"/>
      <c r="O279" s="1166"/>
      <c r="P279" s="1166"/>
      <c r="Q279" s="1166"/>
      <c r="R279" s="1166"/>
      <c r="S279" s="1166"/>
      <c r="T279" s="237"/>
      <c r="U279" s="237"/>
      <c r="V279" s="237"/>
      <c r="W279" s="237"/>
      <c r="X279" s="237"/>
      <c r="Y279" s="237"/>
      <c r="Z279" s="237"/>
      <c r="AA279" s="237"/>
      <c r="AB279" s="237"/>
      <c r="AC279" s="237"/>
    </row>
    <row r="280" spans="1:29" ht="14.25" hidden="1" x14ac:dyDescent="0.3">
      <c r="A280" s="245"/>
      <c r="B280" s="291" t="s">
        <v>1577</v>
      </c>
      <c r="C280" s="292" t="str">
        <f>C270</f>
        <v>emise CO2 (t)</v>
      </c>
      <c r="D280" s="293"/>
      <c r="E280" s="2119">
        <f>E260</f>
        <v>2026</v>
      </c>
      <c r="F280" s="2121">
        <f t="shared" ref="F280" si="149">E280+1</f>
        <v>2027</v>
      </c>
      <c r="G280" s="2121">
        <f t="shared" ref="G280" si="150">F280+1</f>
        <v>2028</v>
      </c>
      <c r="H280" s="2121">
        <f t="shared" ref="H280" si="151">G280+1</f>
        <v>2029</v>
      </c>
      <c r="I280" s="2121">
        <f t="shared" ref="I280" si="152">H280+1</f>
        <v>2030</v>
      </c>
      <c r="J280" s="2121">
        <f t="shared" ref="J280" si="153">I280+1</f>
        <v>2031</v>
      </c>
      <c r="K280" s="2121">
        <f t="shared" ref="K280" si="154">J280+1</f>
        <v>2032</v>
      </c>
      <c r="L280" s="2121">
        <f t="shared" ref="L280" si="155">K280+1</f>
        <v>2033</v>
      </c>
      <c r="M280" s="2121">
        <f t="shared" ref="M280" si="156">L280+1</f>
        <v>2034</v>
      </c>
      <c r="N280" s="2121">
        <f t="shared" ref="N280" si="157">M280+1</f>
        <v>2035</v>
      </c>
      <c r="O280" s="2121">
        <f t="shared" ref="O280" si="158">N280+1</f>
        <v>2036</v>
      </c>
      <c r="P280" s="2121">
        <f>O280+1</f>
        <v>2037</v>
      </c>
      <c r="Q280" s="2121">
        <f t="shared" ref="Q280" si="159">P280+1</f>
        <v>2038</v>
      </c>
      <c r="R280" s="2121">
        <f t="shared" ref="R280" si="160">Q280+1</f>
        <v>2039</v>
      </c>
      <c r="S280" s="2123">
        <f t="shared" ref="S280" si="161">R280+1</f>
        <v>2040</v>
      </c>
      <c r="T280" s="247"/>
      <c r="U280" s="247"/>
      <c r="V280" s="247"/>
      <c r="W280" s="247"/>
      <c r="X280" s="247"/>
      <c r="Y280" s="247"/>
      <c r="Z280" s="247"/>
      <c r="AA280" s="247"/>
      <c r="AB280" s="247"/>
      <c r="AC280" s="247"/>
    </row>
    <row r="281" spans="1:29" ht="15" hidden="1" thickBot="1" x14ac:dyDescent="0.35">
      <c r="A281" s="245"/>
      <c r="B281" s="1357" t="s">
        <v>4</v>
      </c>
      <c r="C281" s="1358" t="str">
        <f>IF('0 Úvod'!$M$10="English",Slovnik!$D$283,Slovnik!$C$283)</f>
        <v>Scénář bez projektu</v>
      </c>
      <c r="D281" s="295" t="str">
        <f>D261</f>
        <v>Celkem</v>
      </c>
      <c r="E281" s="2142"/>
      <c r="F281" s="2122"/>
      <c r="G281" s="2122"/>
      <c r="H281" s="2122"/>
      <c r="I281" s="2122"/>
      <c r="J281" s="2122"/>
      <c r="K281" s="2122"/>
      <c r="L281" s="2122"/>
      <c r="M281" s="2122"/>
      <c r="N281" s="2122"/>
      <c r="O281" s="2122"/>
      <c r="P281" s="2122"/>
      <c r="Q281" s="2122"/>
      <c r="R281" s="2122"/>
      <c r="S281" s="2124"/>
      <c r="T281" s="247"/>
      <c r="U281" s="247"/>
      <c r="V281" s="247"/>
      <c r="W281" s="247"/>
      <c r="X281" s="247"/>
      <c r="Y281" s="247"/>
      <c r="Z281" s="247"/>
      <c r="AA281" s="247"/>
      <c r="AB281" s="247"/>
      <c r="AC281" s="247"/>
    </row>
    <row r="282" spans="1:29" ht="12" hidden="1" customHeight="1" x14ac:dyDescent="0.3">
      <c r="A282" s="245"/>
      <c r="B282" s="1359" t="str">
        <f t="shared" ref="B282:C282" si="162">B272</f>
        <v>BUS</v>
      </c>
      <c r="C282" s="1351" t="str">
        <f t="shared" si="162"/>
        <v>Znečištění ovzduší (klima)</v>
      </c>
      <c r="D282" s="1346">
        <f t="shared" ref="D282:D288" si="163">SUM(E282:S282,E292:S292)</f>
        <v>0</v>
      </c>
      <c r="E282" s="1347">
        <f t="shared" ref="E282:S282" si="164">E24/D$106</f>
        <v>0</v>
      </c>
      <c r="F282" s="1347">
        <f t="shared" si="164"/>
        <v>0</v>
      </c>
      <c r="G282" s="1347">
        <f t="shared" si="164"/>
        <v>0</v>
      </c>
      <c r="H282" s="1347">
        <f t="shared" si="164"/>
        <v>0</v>
      </c>
      <c r="I282" s="1347">
        <f t="shared" si="164"/>
        <v>0</v>
      </c>
      <c r="J282" s="1347">
        <f t="shared" si="164"/>
        <v>0</v>
      </c>
      <c r="K282" s="1347">
        <f t="shared" si="164"/>
        <v>0</v>
      </c>
      <c r="L282" s="1347">
        <f t="shared" si="164"/>
        <v>0</v>
      </c>
      <c r="M282" s="1347">
        <f t="shared" si="164"/>
        <v>0</v>
      </c>
      <c r="N282" s="1347">
        <f t="shared" si="164"/>
        <v>0</v>
      </c>
      <c r="O282" s="1347">
        <f t="shared" si="164"/>
        <v>0</v>
      </c>
      <c r="P282" s="1347">
        <f t="shared" si="164"/>
        <v>0</v>
      </c>
      <c r="Q282" s="1347">
        <f t="shared" si="164"/>
        <v>0</v>
      </c>
      <c r="R282" s="1347">
        <f t="shared" si="164"/>
        <v>0</v>
      </c>
      <c r="S282" s="1347">
        <f t="shared" si="164"/>
        <v>0</v>
      </c>
      <c r="T282" s="236"/>
      <c r="U282" s="236"/>
      <c r="V282" s="236"/>
      <c r="W282" s="236"/>
      <c r="X282" s="236"/>
      <c r="Y282" s="236"/>
      <c r="Z282" s="236"/>
      <c r="AA282" s="236"/>
      <c r="AB282" s="236"/>
      <c r="AC282" s="236"/>
    </row>
    <row r="283" spans="1:29" s="289" customFormat="1" ht="12" hidden="1" customHeight="1" x14ac:dyDescent="0.3">
      <c r="A283" s="287"/>
      <c r="B283" s="1345" t="str">
        <f t="shared" ref="B283:C283" si="165">B273</f>
        <v>Trolejbus</v>
      </c>
      <c r="C283" s="1353" t="str">
        <f t="shared" si="165"/>
        <v>Znečištění ovzduší (klima)</v>
      </c>
      <c r="D283" s="1346">
        <f t="shared" si="163"/>
        <v>0</v>
      </c>
      <c r="E283" s="1347">
        <f t="shared" ref="E283:S283" si="166">E25/D$106</f>
        <v>0</v>
      </c>
      <c r="F283" s="1347">
        <f t="shared" si="166"/>
        <v>0</v>
      </c>
      <c r="G283" s="1347">
        <f t="shared" si="166"/>
        <v>0</v>
      </c>
      <c r="H283" s="1347">
        <f t="shared" si="166"/>
        <v>0</v>
      </c>
      <c r="I283" s="1347">
        <f t="shared" si="166"/>
        <v>0</v>
      </c>
      <c r="J283" s="1347">
        <f t="shared" si="166"/>
        <v>0</v>
      </c>
      <c r="K283" s="1347">
        <f t="shared" si="166"/>
        <v>0</v>
      </c>
      <c r="L283" s="1347">
        <f t="shared" si="166"/>
        <v>0</v>
      </c>
      <c r="M283" s="1347">
        <f t="shared" si="166"/>
        <v>0</v>
      </c>
      <c r="N283" s="1347">
        <f t="shared" si="166"/>
        <v>0</v>
      </c>
      <c r="O283" s="1347">
        <f t="shared" si="166"/>
        <v>0</v>
      </c>
      <c r="P283" s="1347">
        <f t="shared" si="166"/>
        <v>0</v>
      </c>
      <c r="Q283" s="1347">
        <f t="shared" si="166"/>
        <v>0</v>
      </c>
      <c r="R283" s="1347">
        <f t="shared" si="166"/>
        <v>0</v>
      </c>
      <c r="S283" s="1347">
        <f t="shared" si="166"/>
        <v>0</v>
      </c>
      <c r="T283" s="288"/>
      <c r="U283" s="288"/>
      <c r="V283" s="288"/>
      <c r="W283" s="288"/>
      <c r="X283" s="288"/>
      <c r="Y283" s="288"/>
      <c r="Z283" s="288"/>
      <c r="AA283" s="288"/>
      <c r="AB283" s="288"/>
      <c r="AC283" s="288"/>
    </row>
    <row r="284" spans="1:29" ht="12" hidden="1" customHeight="1" x14ac:dyDescent="0.3">
      <c r="A284" s="245"/>
      <c r="B284" s="1345" t="str">
        <f t="shared" ref="B284:C284" si="167">B274</f>
        <v>Tramvaj</v>
      </c>
      <c r="C284" s="1353" t="str">
        <f t="shared" si="167"/>
        <v>Znečištění ovzduší (klima)</v>
      </c>
      <c r="D284" s="1346">
        <f t="shared" si="163"/>
        <v>0</v>
      </c>
      <c r="E284" s="1347">
        <f t="shared" ref="E284:S284" si="168">E26/D$106</f>
        <v>0</v>
      </c>
      <c r="F284" s="1347">
        <f t="shared" si="168"/>
        <v>0</v>
      </c>
      <c r="G284" s="1347">
        <f t="shared" si="168"/>
        <v>0</v>
      </c>
      <c r="H284" s="1347">
        <f t="shared" si="168"/>
        <v>0</v>
      </c>
      <c r="I284" s="1347">
        <f t="shared" si="168"/>
        <v>0</v>
      </c>
      <c r="J284" s="1347">
        <f t="shared" si="168"/>
        <v>0</v>
      </c>
      <c r="K284" s="1347">
        <f t="shared" si="168"/>
        <v>0</v>
      </c>
      <c r="L284" s="1347">
        <f t="shared" si="168"/>
        <v>0</v>
      </c>
      <c r="M284" s="1347">
        <f t="shared" si="168"/>
        <v>0</v>
      </c>
      <c r="N284" s="1347">
        <f t="shared" si="168"/>
        <v>0</v>
      </c>
      <c r="O284" s="1347">
        <f t="shared" si="168"/>
        <v>0</v>
      </c>
      <c r="P284" s="1347">
        <f t="shared" si="168"/>
        <v>0</v>
      </c>
      <c r="Q284" s="1347">
        <f t="shared" si="168"/>
        <v>0</v>
      </c>
      <c r="R284" s="1347">
        <f t="shared" si="168"/>
        <v>0</v>
      </c>
      <c r="S284" s="1347">
        <f t="shared" si="168"/>
        <v>0</v>
      </c>
      <c r="T284" s="236"/>
      <c r="U284" s="236"/>
      <c r="V284" s="236"/>
      <c r="W284" s="236"/>
      <c r="X284" s="236"/>
      <c r="Y284" s="236"/>
      <c r="Z284" s="236"/>
      <c r="AA284" s="236"/>
      <c r="AB284" s="236"/>
      <c r="AC284" s="236"/>
    </row>
    <row r="285" spans="1:29" s="289" customFormat="1" ht="12" hidden="1" customHeight="1" x14ac:dyDescent="0.3">
      <c r="A285" s="287"/>
      <c r="B285" s="1345" t="str">
        <f t="shared" ref="B285:C285" si="169">B275</f>
        <v>Metro</v>
      </c>
      <c r="C285" s="1353" t="str">
        <f t="shared" si="169"/>
        <v>Znečištění ovzduší (klima)</v>
      </c>
      <c r="D285" s="1346">
        <f t="shared" si="163"/>
        <v>0</v>
      </c>
      <c r="E285" s="1347">
        <f t="shared" ref="E285:S285" si="170">E27/D$106</f>
        <v>0</v>
      </c>
      <c r="F285" s="1347">
        <f t="shared" si="170"/>
        <v>0</v>
      </c>
      <c r="G285" s="1347">
        <f t="shared" si="170"/>
        <v>0</v>
      </c>
      <c r="H285" s="1347">
        <f t="shared" si="170"/>
        <v>0</v>
      </c>
      <c r="I285" s="1347">
        <f t="shared" si="170"/>
        <v>0</v>
      </c>
      <c r="J285" s="1347">
        <f t="shared" si="170"/>
        <v>0</v>
      </c>
      <c r="K285" s="1347">
        <f t="shared" si="170"/>
        <v>0</v>
      </c>
      <c r="L285" s="1347">
        <f t="shared" si="170"/>
        <v>0</v>
      </c>
      <c r="M285" s="1347">
        <f t="shared" si="170"/>
        <v>0</v>
      </c>
      <c r="N285" s="1347">
        <f t="shared" si="170"/>
        <v>0</v>
      </c>
      <c r="O285" s="1347">
        <f t="shared" si="170"/>
        <v>0</v>
      </c>
      <c r="P285" s="1347">
        <f t="shared" si="170"/>
        <v>0</v>
      </c>
      <c r="Q285" s="1347">
        <f t="shared" si="170"/>
        <v>0</v>
      </c>
      <c r="R285" s="1347">
        <f t="shared" si="170"/>
        <v>0</v>
      </c>
      <c r="S285" s="1347">
        <f t="shared" si="170"/>
        <v>0</v>
      </c>
      <c r="T285" s="288"/>
      <c r="U285" s="288"/>
      <c r="V285" s="288"/>
      <c r="W285" s="288"/>
      <c r="X285" s="288"/>
      <c r="Y285" s="288"/>
      <c r="Z285" s="288"/>
      <c r="AA285" s="288"/>
      <c r="AB285" s="288"/>
      <c r="AC285" s="288"/>
    </row>
    <row r="286" spans="1:29" s="289" customFormat="1" ht="12" hidden="1" customHeight="1" x14ac:dyDescent="0.3">
      <c r="A286" s="287"/>
      <c r="B286" s="1345" t="str">
        <f t="shared" ref="B286:C286" si="171">B276</f>
        <v>IAD</v>
      </c>
      <c r="C286" s="1353" t="str">
        <f t="shared" si="171"/>
        <v>Znečištění ovzduší (klima)</v>
      </c>
      <c r="D286" s="1346">
        <f t="shared" si="163"/>
        <v>0</v>
      </c>
      <c r="E286" s="1347">
        <f t="shared" ref="E286:S286" si="172">E28/D$106</f>
        <v>0</v>
      </c>
      <c r="F286" s="1347">
        <f t="shared" si="172"/>
        <v>0</v>
      </c>
      <c r="G286" s="1347">
        <f t="shared" si="172"/>
        <v>0</v>
      </c>
      <c r="H286" s="1347">
        <f t="shared" si="172"/>
        <v>0</v>
      </c>
      <c r="I286" s="1347">
        <f t="shared" si="172"/>
        <v>0</v>
      </c>
      <c r="J286" s="1347">
        <f t="shared" si="172"/>
        <v>0</v>
      </c>
      <c r="K286" s="1347">
        <f t="shared" si="172"/>
        <v>0</v>
      </c>
      <c r="L286" s="1347">
        <f t="shared" si="172"/>
        <v>0</v>
      </c>
      <c r="M286" s="1347">
        <f t="shared" si="172"/>
        <v>0</v>
      </c>
      <c r="N286" s="1347">
        <f t="shared" si="172"/>
        <v>0</v>
      </c>
      <c r="O286" s="1347">
        <f t="shared" si="172"/>
        <v>0</v>
      </c>
      <c r="P286" s="1347">
        <f t="shared" si="172"/>
        <v>0</v>
      </c>
      <c r="Q286" s="1347">
        <f t="shared" si="172"/>
        <v>0</v>
      </c>
      <c r="R286" s="1347">
        <f t="shared" si="172"/>
        <v>0</v>
      </c>
      <c r="S286" s="1347">
        <f t="shared" si="172"/>
        <v>0</v>
      </c>
      <c r="T286" s="288"/>
      <c r="U286" s="288"/>
      <c r="V286" s="288"/>
      <c r="W286" s="288"/>
      <c r="X286" s="288"/>
      <c r="Y286" s="288"/>
      <c r="Z286" s="288"/>
      <c r="AA286" s="288"/>
      <c r="AB286" s="288"/>
      <c r="AC286" s="288"/>
    </row>
    <row r="287" spans="1:29" s="289" customFormat="1" ht="12" hidden="1" customHeight="1" x14ac:dyDescent="0.3">
      <c r="A287" s="287"/>
      <c r="B287" s="1360" t="str">
        <f t="shared" ref="B287:C287" si="173">B277</f>
        <v>bez rozlišení</v>
      </c>
      <c r="C287" s="1355" t="str">
        <f t="shared" si="173"/>
        <v>Znečištění ovzduší (klima)</v>
      </c>
      <c r="D287" s="1346">
        <f t="shared" si="163"/>
        <v>0</v>
      </c>
      <c r="E287" s="1347">
        <f t="shared" ref="E287:S287" si="174">E29/D$106</f>
        <v>0</v>
      </c>
      <c r="F287" s="1347">
        <f t="shared" si="174"/>
        <v>0</v>
      </c>
      <c r="G287" s="1347">
        <f t="shared" si="174"/>
        <v>0</v>
      </c>
      <c r="H287" s="1347">
        <f t="shared" si="174"/>
        <v>0</v>
      </c>
      <c r="I287" s="1347">
        <f t="shared" si="174"/>
        <v>0</v>
      </c>
      <c r="J287" s="1347">
        <f t="shared" si="174"/>
        <v>0</v>
      </c>
      <c r="K287" s="1347">
        <f t="shared" si="174"/>
        <v>0</v>
      </c>
      <c r="L287" s="1347">
        <f t="shared" si="174"/>
        <v>0</v>
      </c>
      <c r="M287" s="1347">
        <f t="shared" si="174"/>
        <v>0</v>
      </c>
      <c r="N287" s="1347">
        <f t="shared" si="174"/>
        <v>0</v>
      </c>
      <c r="O287" s="1347">
        <f t="shared" si="174"/>
        <v>0</v>
      </c>
      <c r="P287" s="1347">
        <f t="shared" si="174"/>
        <v>0</v>
      </c>
      <c r="Q287" s="1347">
        <f t="shared" si="174"/>
        <v>0</v>
      </c>
      <c r="R287" s="1347">
        <f t="shared" si="174"/>
        <v>0</v>
      </c>
      <c r="S287" s="1347">
        <f t="shared" si="174"/>
        <v>0</v>
      </c>
      <c r="T287" s="288"/>
      <c r="U287" s="288"/>
      <c r="V287" s="288"/>
      <c r="W287" s="288"/>
      <c r="X287" s="288"/>
      <c r="Y287" s="288"/>
      <c r="Z287" s="288"/>
      <c r="AA287" s="288"/>
      <c r="AB287" s="288"/>
      <c r="AC287" s="288"/>
    </row>
    <row r="288" spans="1:29" ht="12.75" hidden="1" customHeight="1" thickBot="1" x14ac:dyDescent="0.35">
      <c r="A288" s="245"/>
      <c r="B288" s="1361"/>
      <c r="C288" s="243" t="str">
        <f>C278</f>
        <v>emise CO2 (t), celkem</v>
      </c>
      <c r="D288" s="273">
        <f t="shared" si="163"/>
        <v>0</v>
      </c>
      <c r="E288" s="483">
        <f>SUM(E282:E287)</f>
        <v>0</v>
      </c>
      <c r="F288" s="484">
        <f t="shared" ref="F288:S288" si="175">SUM(F282:F287)</f>
        <v>0</v>
      </c>
      <c r="G288" s="484">
        <f t="shared" si="175"/>
        <v>0</v>
      </c>
      <c r="H288" s="484">
        <f t="shared" si="175"/>
        <v>0</v>
      </c>
      <c r="I288" s="484">
        <f t="shared" si="175"/>
        <v>0</v>
      </c>
      <c r="J288" s="484">
        <f t="shared" si="175"/>
        <v>0</v>
      </c>
      <c r="K288" s="484">
        <f t="shared" si="175"/>
        <v>0</v>
      </c>
      <c r="L288" s="484">
        <f t="shared" si="175"/>
        <v>0</v>
      </c>
      <c r="M288" s="484">
        <f t="shared" si="175"/>
        <v>0</v>
      </c>
      <c r="N288" s="484">
        <f t="shared" si="175"/>
        <v>0</v>
      </c>
      <c r="O288" s="484">
        <f t="shared" si="175"/>
        <v>0</v>
      </c>
      <c r="P288" s="484">
        <f t="shared" si="175"/>
        <v>0</v>
      </c>
      <c r="Q288" s="484">
        <f t="shared" si="175"/>
        <v>0</v>
      </c>
      <c r="R288" s="484">
        <f t="shared" si="175"/>
        <v>0</v>
      </c>
      <c r="S288" s="485">
        <f t="shared" si="175"/>
        <v>0</v>
      </c>
      <c r="T288" s="237"/>
      <c r="U288" s="237"/>
      <c r="V288" s="237"/>
      <c r="W288" s="237"/>
      <c r="X288" s="237"/>
      <c r="Y288" s="237"/>
      <c r="Z288" s="237"/>
      <c r="AA288" s="237"/>
      <c r="AB288" s="237"/>
      <c r="AC288" s="237"/>
    </row>
    <row r="289" spans="1:29" ht="12.75" hidden="1" customHeight="1" thickBot="1" x14ac:dyDescent="0.35">
      <c r="A289" s="245"/>
      <c r="B289" s="1349"/>
      <c r="C289" s="1165"/>
      <c r="D289" s="1167"/>
      <c r="E289" s="1167"/>
      <c r="F289" s="1167"/>
      <c r="G289" s="1167"/>
      <c r="H289" s="1167"/>
      <c r="I289" s="1167"/>
      <c r="J289" s="1167"/>
      <c r="K289" s="1167"/>
      <c r="L289" s="1167"/>
      <c r="M289" s="1167"/>
      <c r="N289" s="1167"/>
      <c r="O289" s="1167"/>
      <c r="P289" s="1167"/>
      <c r="Q289" s="1167"/>
      <c r="R289" s="1167"/>
      <c r="S289" s="1167"/>
      <c r="T289" s="236"/>
      <c r="U289" s="236"/>
      <c r="V289" s="236"/>
      <c r="W289" s="236"/>
      <c r="X289" s="236"/>
      <c r="Y289" s="236"/>
      <c r="Z289" s="236"/>
      <c r="AA289" s="236"/>
      <c r="AB289" s="236"/>
      <c r="AC289" s="236"/>
    </row>
    <row r="290" spans="1:29" ht="12.75" hidden="1" customHeight="1" x14ac:dyDescent="0.3">
      <c r="A290" s="245"/>
      <c r="B290" s="291" t="str">
        <f>B280</f>
        <v>pom.</v>
      </c>
      <c r="C290" s="292" t="str">
        <f>C280</f>
        <v>emise CO2 (t)</v>
      </c>
      <c r="D290" s="293"/>
      <c r="E290" s="2119">
        <f>S280+1</f>
        <v>2041</v>
      </c>
      <c r="F290" s="2121">
        <f t="shared" ref="F290" si="176">E290+1</f>
        <v>2042</v>
      </c>
      <c r="G290" s="2121">
        <f t="shared" ref="G290" si="177">F290+1</f>
        <v>2043</v>
      </c>
      <c r="H290" s="2121">
        <f t="shared" ref="H290" si="178">G290+1</f>
        <v>2044</v>
      </c>
      <c r="I290" s="2121">
        <f t="shared" ref="I290" si="179">H290+1</f>
        <v>2045</v>
      </c>
      <c r="J290" s="2121">
        <f t="shared" ref="J290" si="180">I290+1</f>
        <v>2046</v>
      </c>
      <c r="K290" s="2121">
        <f t="shared" ref="K290" si="181">J290+1</f>
        <v>2047</v>
      </c>
      <c r="L290" s="2121">
        <f t="shared" ref="L290" si="182">K290+1</f>
        <v>2048</v>
      </c>
      <c r="M290" s="2121">
        <f t="shared" ref="M290" si="183">L290+1</f>
        <v>2049</v>
      </c>
      <c r="N290" s="2121">
        <f t="shared" ref="N290" si="184">M290+1</f>
        <v>2050</v>
      </c>
      <c r="O290" s="2121">
        <f t="shared" ref="O290" si="185">N290+1</f>
        <v>2051</v>
      </c>
      <c r="P290" s="2121">
        <f>O290+1</f>
        <v>2052</v>
      </c>
      <c r="Q290" s="2121">
        <f t="shared" ref="Q290" si="186">P290+1</f>
        <v>2053</v>
      </c>
      <c r="R290" s="2121">
        <f t="shared" ref="R290" si="187">Q290+1</f>
        <v>2054</v>
      </c>
      <c r="S290" s="2123">
        <f t="shared" ref="S290" si="188">R290+1</f>
        <v>2055</v>
      </c>
      <c r="T290" s="247"/>
      <c r="U290" s="247"/>
      <c r="V290" s="247"/>
      <c r="W290" s="247"/>
      <c r="X290" s="247"/>
      <c r="Y290" s="247"/>
      <c r="Z290" s="247"/>
      <c r="AA290" s="247"/>
      <c r="AB290" s="247"/>
      <c r="AC290" s="247"/>
    </row>
    <row r="291" spans="1:29" ht="12.75" hidden="1" customHeight="1" thickBot="1" x14ac:dyDescent="0.35">
      <c r="A291" s="245"/>
      <c r="B291" s="1357" t="s">
        <v>5</v>
      </c>
      <c r="C291" s="1358" t="str">
        <f t="shared" ref="C291:C298" si="189">C281</f>
        <v>Scénář bez projektu</v>
      </c>
      <c r="D291" s="295"/>
      <c r="E291" s="2142">
        <f>S281+1</f>
        <v>1</v>
      </c>
      <c r="F291" s="2122"/>
      <c r="G291" s="2122"/>
      <c r="H291" s="2122"/>
      <c r="I291" s="2122"/>
      <c r="J291" s="2122"/>
      <c r="K291" s="2122"/>
      <c r="L291" s="2122"/>
      <c r="M291" s="2122"/>
      <c r="N291" s="2122"/>
      <c r="O291" s="2122"/>
      <c r="P291" s="2122"/>
      <c r="Q291" s="2122"/>
      <c r="R291" s="2122"/>
      <c r="S291" s="2124"/>
      <c r="T291" s="247"/>
      <c r="U291" s="247"/>
      <c r="V291" s="247"/>
      <c r="W291" s="247"/>
      <c r="X291" s="247"/>
      <c r="Y291" s="247"/>
      <c r="Z291" s="247"/>
      <c r="AA291" s="247"/>
      <c r="AB291" s="247"/>
      <c r="AC291" s="247"/>
    </row>
    <row r="292" spans="1:29" ht="12.75" hidden="1" customHeight="1" x14ac:dyDescent="0.3">
      <c r="A292" s="245"/>
      <c r="B292" s="1359" t="str">
        <f t="shared" ref="B292:B297" si="190">B282</f>
        <v>BUS</v>
      </c>
      <c r="C292" s="1351" t="str">
        <f t="shared" si="189"/>
        <v>Znečištění ovzduší (klima)</v>
      </c>
      <c r="D292" s="1346"/>
      <c r="E292" s="1347">
        <f t="shared" ref="E292:S292" si="191">E34/D$109</f>
        <v>0</v>
      </c>
      <c r="F292" s="1347">
        <f t="shared" si="191"/>
        <v>0</v>
      </c>
      <c r="G292" s="1347">
        <f t="shared" si="191"/>
        <v>0</v>
      </c>
      <c r="H292" s="1347">
        <f t="shared" si="191"/>
        <v>0</v>
      </c>
      <c r="I292" s="1347">
        <f t="shared" si="191"/>
        <v>0</v>
      </c>
      <c r="J292" s="1347">
        <f t="shared" si="191"/>
        <v>0</v>
      </c>
      <c r="K292" s="1347">
        <f t="shared" si="191"/>
        <v>0</v>
      </c>
      <c r="L292" s="1347">
        <f t="shared" si="191"/>
        <v>0</v>
      </c>
      <c r="M292" s="1347">
        <f t="shared" si="191"/>
        <v>0</v>
      </c>
      <c r="N292" s="1347">
        <f t="shared" si="191"/>
        <v>0</v>
      </c>
      <c r="O292" s="1347">
        <f t="shared" si="191"/>
        <v>0</v>
      </c>
      <c r="P292" s="1347">
        <f t="shared" si="191"/>
        <v>0</v>
      </c>
      <c r="Q292" s="1347">
        <f t="shared" si="191"/>
        <v>0</v>
      </c>
      <c r="R292" s="1347">
        <f t="shared" si="191"/>
        <v>0</v>
      </c>
      <c r="S292" s="1347">
        <f t="shared" si="191"/>
        <v>0</v>
      </c>
      <c r="T292" s="236"/>
      <c r="U292" s="236"/>
      <c r="V292" s="236"/>
      <c r="W292" s="236"/>
      <c r="X292" s="236"/>
      <c r="Y292" s="236"/>
      <c r="Z292" s="236"/>
      <c r="AA292" s="236"/>
      <c r="AB292" s="236"/>
      <c r="AC292" s="236"/>
    </row>
    <row r="293" spans="1:29" s="289" customFormat="1" ht="12.75" hidden="1" customHeight="1" x14ac:dyDescent="0.3">
      <c r="A293" s="287"/>
      <c r="B293" s="1345" t="str">
        <f t="shared" si="190"/>
        <v>Trolejbus</v>
      </c>
      <c r="C293" s="1353" t="str">
        <f t="shared" si="189"/>
        <v>Znečištění ovzduší (klima)</v>
      </c>
      <c r="D293" s="1346"/>
      <c r="E293" s="1347">
        <f t="shared" ref="E293:S293" si="192">E35/D$109</f>
        <v>0</v>
      </c>
      <c r="F293" s="1347">
        <f t="shared" si="192"/>
        <v>0</v>
      </c>
      <c r="G293" s="1347">
        <f t="shared" si="192"/>
        <v>0</v>
      </c>
      <c r="H293" s="1347">
        <f t="shared" si="192"/>
        <v>0</v>
      </c>
      <c r="I293" s="1347">
        <f t="shared" si="192"/>
        <v>0</v>
      </c>
      <c r="J293" s="1347">
        <f t="shared" si="192"/>
        <v>0</v>
      </c>
      <c r="K293" s="1347">
        <f t="shared" si="192"/>
        <v>0</v>
      </c>
      <c r="L293" s="1347">
        <f t="shared" si="192"/>
        <v>0</v>
      </c>
      <c r="M293" s="1347">
        <f t="shared" si="192"/>
        <v>0</v>
      </c>
      <c r="N293" s="1347">
        <f t="shared" si="192"/>
        <v>0</v>
      </c>
      <c r="O293" s="1347">
        <f t="shared" si="192"/>
        <v>0</v>
      </c>
      <c r="P293" s="1347">
        <f t="shared" si="192"/>
        <v>0</v>
      </c>
      <c r="Q293" s="1347">
        <f t="shared" si="192"/>
        <v>0</v>
      </c>
      <c r="R293" s="1347">
        <f t="shared" si="192"/>
        <v>0</v>
      </c>
      <c r="S293" s="1347">
        <f t="shared" si="192"/>
        <v>0</v>
      </c>
      <c r="T293" s="288"/>
      <c r="U293" s="288"/>
      <c r="V293" s="288"/>
      <c r="W293" s="288"/>
      <c r="X293" s="288"/>
      <c r="Y293" s="288"/>
      <c r="Z293" s="288"/>
      <c r="AA293" s="288"/>
      <c r="AB293" s="288"/>
      <c r="AC293" s="288"/>
    </row>
    <row r="294" spans="1:29" ht="12.75" hidden="1" customHeight="1" x14ac:dyDescent="0.3">
      <c r="A294" s="245"/>
      <c r="B294" s="1345" t="str">
        <f t="shared" si="190"/>
        <v>Tramvaj</v>
      </c>
      <c r="C294" s="1353" t="str">
        <f t="shared" si="189"/>
        <v>Znečištění ovzduší (klima)</v>
      </c>
      <c r="D294" s="1346"/>
      <c r="E294" s="1347">
        <f t="shared" ref="E294:S294" si="193">E36/D$109</f>
        <v>0</v>
      </c>
      <c r="F294" s="1347">
        <f t="shared" si="193"/>
        <v>0</v>
      </c>
      <c r="G294" s="1347">
        <f t="shared" si="193"/>
        <v>0</v>
      </c>
      <c r="H294" s="1347">
        <f t="shared" si="193"/>
        <v>0</v>
      </c>
      <c r="I294" s="1347">
        <f t="shared" si="193"/>
        <v>0</v>
      </c>
      <c r="J294" s="1347">
        <f t="shared" si="193"/>
        <v>0</v>
      </c>
      <c r="K294" s="1347">
        <f t="shared" si="193"/>
        <v>0</v>
      </c>
      <c r="L294" s="1347">
        <f t="shared" si="193"/>
        <v>0</v>
      </c>
      <c r="M294" s="1347">
        <f t="shared" si="193"/>
        <v>0</v>
      </c>
      <c r="N294" s="1347">
        <f t="shared" si="193"/>
        <v>0</v>
      </c>
      <c r="O294" s="1347">
        <f t="shared" si="193"/>
        <v>0</v>
      </c>
      <c r="P294" s="1347">
        <f t="shared" si="193"/>
        <v>0</v>
      </c>
      <c r="Q294" s="1347">
        <f t="shared" si="193"/>
        <v>0</v>
      </c>
      <c r="R294" s="1347">
        <f t="shared" si="193"/>
        <v>0</v>
      </c>
      <c r="S294" s="1347">
        <f t="shared" si="193"/>
        <v>0</v>
      </c>
      <c r="T294" s="236"/>
      <c r="U294" s="236"/>
      <c r="V294" s="236"/>
      <c r="W294" s="236"/>
      <c r="X294" s="236"/>
      <c r="Y294" s="236"/>
      <c r="Z294" s="236"/>
      <c r="AA294" s="236"/>
      <c r="AB294" s="236"/>
      <c r="AC294" s="236"/>
    </row>
    <row r="295" spans="1:29" s="289" customFormat="1" ht="12.75" hidden="1" customHeight="1" x14ac:dyDescent="0.3">
      <c r="A295" s="287"/>
      <c r="B295" s="1345" t="str">
        <f t="shared" si="190"/>
        <v>Metro</v>
      </c>
      <c r="C295" s="1353" t="str">
        <f t="shared" si="189"/>
        <v>Znečištění ovzduší (klima)</v>
      </c>
      <c r="D295" s="1346"/>
      <c r="E295" s="1347">
        <f t="shared" ref="E295:S295" si="194">E37/D$109</f>
        <v>0</v>
      </c>
      <c r="F295" s="1347">
        <f t="shared" si="194"/>
        <v>0</v>
      </c>
      <c r="G295" s="1347">
        <f t="shared" si="194"/>
        <v>0</v>
      </c>
      <c r="H295" s="1347">
        <f t="shared" si="194"/>
        <v>0</v>
      </c>
      <c r="I295" s="1347">
        <f t="shared" si="194"/>
        <v>0</v>
      </c>
      <c r="J295" s="1347">
        <f t="shared" si="194"/>
        <v>0</v>
      </c>
      <c r="K295" s="1347">
        <f t="shared" si="194"/>
        <v>0</v>
      </c>
      <c r="L295" s="1347">
        <f t="shared" si="194"/>
        <v>0</v>
      </c>
      <c r="M295" s="1347">
        <f t="shared" si="194"/>
        <v>0</v>
      </c>
      <c r="N295" s="1347">
        <f t="shared" si="194"/>
        <v>0</v>
      </c>
      <c r="O295" s="1347">
        <f t="shared" si="194"/>
        <v>0</v>
      </c>
      <c r="P295" s="1347">
        <f t="shared" si="194"/>
        <v>0</v>
      </c>
      <c r="Q295" s="1347">
        <f t="shared" si="194"/>
        <v>0</v>
      </c>
      <c r="R295" s="1347">
        <f t="shared" si="194"/>
        <v>0</v>
      </c>
      <c r="S295" s="1347">
        <f t="shared" si="194"/>
        <v>0</v>
      </c>
      <c r="T295" s="288"/>
      <c r="U295" s="288"/>
      <c r="V295" s="288"/>
      <c r="W295" s="288"/>
      <c r="X295" s="288"/>
      <c r="Y295" s="288"/>
      <c r="Z295" s="288"/>
      <c r="AA295" s="288"/>
      <c r="AB295" s="288"/>
      <c r="AC295" s="288"/>
    </row>
    <row r="296" spans="1:29" s="289" customFormat="1" ht="12.75" hidden="1" customHeight="1" x14ac:dyDescent="0.3">
      <c r="A296" s="287"/>
      <c r="B296" s="1345" t="str">
        <f t="shared" si="190"/>
        <v>IAD</v>
      </c>
      <c r="C296" s="1353" t="str">
        <f t="shared" si="189"/>
        <v>Znečištění ovzduší (klima)</v>
      </c>
      <c r="D296" s="1346"/>
      <c r="E296" s="1347">
        <f t="shared" ref="E296:S296" si="195">E38/D$109</f>
        <v>0</v>
      </c>
      <c r="F296" s="1347">
        <f t="shared" si="195"/>
        <v>0</v>
      </c>
      <c r="G296" s="1347">
        <f t="shared" si="195"/>
        <v>0</v>
      </c>
      <c r="H296" s="1347">
        <f t="shared" si="195"/>
        <v>0</v>
      </c>
      <c r="I296" s="1347">
        <f t="shared" si="195"/>
        <v>0</v>
      </c>
      <c r="J296" s="1347">
        <f t="shared" si="195"/>
        <v>0</v>
      </c>
      <c r="K296" s="1347">
        <f t="shared" si="195"/>
        <v>0</v>
      </c>
      <c r="L296" s="1347">
        <f t="shared" si="195"/>
        <v>0</v>
      </c>
      <c r="M296" s="1347">
        <f t="shared" si="195"/>
        <v>0</v>
      </c>
      <c r="N296" s="1347">
        <f t="shared" si="195"/>
        <v>0</v>
      </c>
      <c r="O296" s="1347">
        <f t="shared" si="195"/>
        <v>0</v>
      </c>
      <c r="P296" s="1347">
        <f t="shared" si="195"/>
        <v>0</v>
      </c>
      <c r="Q296" s="1347">
        <f t="shared" si="195"/>
        <v>0</v>
      </c>
      <c r="R296" s="1347">
        <f t="shared" si="195"/>
        <v>0</v>
      </c>
      <c r="S296" s="1347">
        <f t="shared" si="195"/>
        <v>0</v>
      </c>
      <c r="T296" s="288"/>
      <c r="U296" s="288"/>
      <c r="V296" s="288"/>
      <c r="W296" s="288"/>
      <c r="X296" s="288"/>
      <c r="Y296" s="288"/>
      <c r="Z296" s="288"/>
      <c r="AA296" s="288"/>
      <c r="AB296" s="288"/>
      <c r="AC296" s="288"/>
    </row>
    <row r="297" spans="1:29" s="289" customFormat="1" ht="12.75" hidden="1" customHeight="1" x14ac:dyDescent="0.3">
      <c r="A297" s="287"/>
      <c r="B297" s="1360" t="str">
        <f t="shared" si="190"/>
        <v>bez rozlišení</v>
      </c>
      <c r="C297" s="1355" t="str">
        <f t="shared" si="189"/>
        <v>Znečištění ovzduší (klima)</v>
      </c>
      <c r="D297" s="1346"/>
      <c r="E297" s="1347">
        <f t="shared" ref="E297:S297" si="196">E39/D$109</f>
        <v>0</v>
      </c>
      <c r="F297" s="1347">
        <f t="shared" si="196"/>
        <v>0</v>
      </c>
      <c r="G297" s="1347">
        <f t="shared" si="196"/>
        <v>0</v>
      </c>
      <c r="H297" s="1347">
        <f t="shared" si="196"/>
        <v>0</v>
      </c>
      <c r="I297" s="1347">
        <f t="shared" si="196"/>
        <v>0</v>
      </c>
      <c r="J297" s="1347">
        <f t="shared" si="196"/>
        <v>0</v>
      </c>
      <c r="K297" s="1347">
        <f t="shared" si="196"/>
        <v>0</v>
      </c>
      <c r="L297" s="1347">
        <f t="shared" si="196"/>
        <v>0</v>
      </c>
      <c r="M297" s="1347">
        <f t="shared" si="196"/>
        <v>0</v>
      </c>
      <c r="N297" s="1347">
        <f t="shared" si="196"/>
        <v>0</v>
      </c>
      <c r="O297" s="1347">
        <f t="shared" si="196"/>
        <v>0</v>
      </c>
      <c r="P297" s="1347">
        <f t="shared" si="196"/>
        <v>0</v>
      </c>
      <c r="Q297" s="1347">
        <f t="shared" si="196"/>
        <v>0</v>
      </c>
      <c r="R297" s="1347">
        <f t="shared" si="196"/>
        <v>0</v>
      </c>
      <c r="S297" s="1347">
        <f t="shared" si="196"/>
        <v>0</v>
      </c>
      <c r="T297" s="288"/>
      <c r="U297" s="288"/>
      <c r="V297" s="288"/>
      <c r="W297" s="288"/>
      <c r="X297" s="288"/>
      <c r="Y297" s="288"/>
      <c r="Z297" s="288"/>
      <c r="AA297" s="288"/>
      <c r="AB297" s="288"/>
      <c r="AC297" s="288"/>
    </row>
    <row r="298" spans="1:29" ht="12.75" hidden="1" customHeight="1" thickBot="1" x14ac:dyDescent="0.35">
      <c r="A298" s="252"/>
      <c r="B298" s="1361"/>
      <c r="C298" s="243" t="str">
        <f t="shared" si="189"/>
        <v>emise CO2 (t), celkem</v>
      </c>
      <c r="D298" s="273"/>
      <c r="E298" s="483">
        <f>SUM(E292:E297)</f>
        <v>0</v>
      </c>
      <c r="F298" s="484">
        <f t="shared" ref="F298:S298" si="197">SUM(F292:F297)</f>
        <v>0</v>
      </c>
      <c r="G298" s="484">
        <f t="shared" si="197"/>
        <v>0</v>
      </c>
      <c r="H298" s="484">
        <f t="shared" si="197"/>
        <v>0</v>
      </c>
      <c r="I298" s="484">
        <f t="shared" si="197"/>
        <v>0</v>
      </c>
      <c r="J298" s="484">
        <f t="shared" si="197"/>
        <v>0</v>
      </c>
      <c r="K298" s="484">
        <f t="shared" si="197"/>
        <v>0</v>
      </c>
      <c r="L298" s="484">
        <f t="shared" si="197"/>
        <v>0</v>
      </c>
      <c r="M298" s="484">
        <f t="shared" si="197"/>
        <v>0</v>
      </c>
      <c r="N298" s="484">
        <f t="shared" si="197"/>
        <v>0</v>
      </c>
      <c r="O298" s="484">
        <f t="shared" si="197"/>
        <v>0</v>
      </c>
      <c r="P298" s="484">
        <f t="shared" si="197"/>
        <v>0</v>
      </c>
      <c r="Q298" s="484">
        <f t="shared" si="197"/>
        <v>0</v>
      </c>
      <c r="R298" s="484">
        <f t="shared" si="197"/>
        <v>0</v>
      </c>
      <c r="S298" s="485">
        <f t="shared" si="197"/>
        <v>0</v>
      </c>
      <c r="T298" s="237"/>
      <c r="U298" s="237"/>
      <c r="V298" s="237"/>
      <c r="W298" s="237"/>
      <c r="X298" s="237"/>
      <c r="Y298" s="237"/>
      <c r="Z298" s="237"/>
      <c r="AA298" s="237"/>
      <c r="AB298" s="237"/>
      <c r="AC298" s="237"/>
    </row>
    <row r="299" spans="1:29" hidden="1" x14ac:dyDescent="0.3"/>
  </sheetData>
  <sheetProtection algorithmName="SHA-512" hashValue="/GhrJcFE73hK+JECrXHEtB3q+MoGfI50HrMQBYopz+A846WU3jK8U50Zk9d6kZTloZUHEsS2FpYPIj0DvA086A==" saltValue="a65p/Fab5uoiB4QguErSLw==" spinCount="100000" sheet="1" objects="1" scenarios="1"/>
  <mergeCells count="249">
    <mergeCell ref="D105:R105"/>
    <mergeCell ref="D108:R108"/>
    <mergeCell ref="Q280:Q281"/>
    <mergeCell ref="R280:R281"/>
    <mergeCell ref="S280:S281"/>
    <mergeCell ref="E290:E291"/>
    <mergeCell ref="F290:F291"/>
    <mergeCell ref="G290:G291"/>
    <mergeCell ref="H290:H291"/>
    <mergeCell ref="I290:I291"/>
    <mergeCell ref="J290:J291"/>
    <mergeCell ref="K290:K291"/>
    <mergeCell ref="L290:L291"/>
    <mergeCell ref="M290:M291"/>
    <mergeCell ref="N290:N291"/>
    <mergeCell ref="O290:O291"/>
    <mergeCell ref="P290:P291"/>
    <mergeCell ref="Q290:Q291"/>
    <mergeCell ref="R290:R291"/>
    <mergeCell ref="S290:S291"/>
    <mergeCell ref="E280:E281"/>
    <mergeCell ref="F280:F281"/>
    <mergeCell ref="G280:G281"/>
    <mergeCell ref="H280:H281"/>
    <mergeCell ref="M280:M281"/>
    <mergeCell ref="N260:N261"/>
    <mergeCell ref="O260:O261"/>
    <mergeCell ref="P260:P261"/>
    <mergeCell ref="K260:K261"/>
    <mergeCell ref="L260:L261"/>
    <mergeCell ref="M260:M261"/>
    <mergeCell ref="N280:N281"/>
    <mergeCell ref="O280:O281"/>
    <mergeCell ref="P280:P281"/>
    <mergeCell ref="F260:F261"/>
    <mergeCell ref="G260:G261"/>
    <mergeCell ref="H260:H261"/>
    <mergeCell ref="I260:I261"/>
    <mergeCell ref="J260:J261"/>
    <mergeCell ref="I280:I281"/>
    <mergeCell ref="J280:J281"/>
    <mergeCell ref="K280:K281"/>
    <mergeCell ref="L280:L281"/>
    <mergeCell ref="B228:B249"/>
    <mergeCell ref="C228:R228"/>
    <mergeCell ref="B252:S253"/>
    <mergeCell ref="C189:D189"/>
    <mergeCell ref="C190:D190"/>
    <mergeCell ref="Q260:Q261"/>
    <mergeCell ref="R260:R261"/>
    <mergeCell ref="S260:S261"/>
    <mergeCell ref="E270:E271"/>
    <mergeCell ref="F270:F271"/>
    <mergeCell ref="G270:G271"/>
    <mergeCell ref="H270:H271"/>
    <mergeCell ref="I270:I271"/>
    <mergeCell ref="J270:J271"/>
    <mergeCell ref="K270:K271"/>
    <mergeCell ref="L270:L271"/>
    <mergeCell ref="M270:M271"/>
    <mergeCell ref="N270:N271"/>
    <mergeCell ref="O270:O271"/>
    <mergeCell ref="P270:P271"/>
    <mergeCell ref="Q270:Q271"/>
    <mergeCell ref="R270:R271"/>
    <mergeCell ref="S270:S271"/>
    <mergeCell ref="E260:E261"/>
    <mergeCell ref="C132:D132"/>
    <mergeCell ref="B113:B132"/>
    <mergeCell ref="C113:I113"/>
    <mergeCell ref="C114:I114"/>
    <mergeCell ref="C116:C119"/>
    <mergeCell ref="C120:C123"/>
    <mergeCell ref="C124:C125"/>
    <mergeCell ref="C126:I126"/>
    <mergeCell ref="C127:C128"/>
    <mergeCell ref="C129:C130"/>
    <mergeCell ref="C131:D131"/>
    <mergeCell ref="R47:R48"/>
    <mergeCell ref="B91:B103"/>
    <mergeCell ref="C91:R91"/>
    <mergeCell ref="D93:R93"/>
    <mergeCell ref="D96:R96"/>
    <mergeCell ref="D99:R99"/>
    <mergeCell ref="D102:R102"/>
    <mergeCell ref="G77:G79"/>
    <mergeCell ref="J77:J79"/>
    <mergeCell ref="D80:J80"/>
    <mergeCell ref="D81:D83"/>
    <mergeCell ref="E81:E83"/>
    <mergeCell ref="F81:F83"/>
    <mergeCell ref="G81:G83"/>
    <mergeCell ref="J81:J83"/>
    <mergeCell ref="B73:B83"/>
    <mergeCell ref="C73:J73"/>
    <mergeCell ref="D74:I74"/>
    <mergeCell ref="J74:J75"/>
    <mergeCell ref="D76:J76"/>
    <mergeCell ref="D77:D79"/>
    <mergeCell ref="E77:E79"/>
    <mergeCell ref="F77:F79"/>
    <mergeCell ref="H57:H58"/>
    <mergeCell ref="N32:N33"/>
    <mergeCell ref="O32:O33"/>
    <mergeCell ref="P32:P33"/>
    <mergeCell ref="Q32:Q33"/>
    <mergeCell ref="L47:L48"/>
    <mergeCell ref="Q42:Q43"/>
    <mergeCell ref="R42:R43"/>
    <mergeCell ref="E47:E48"/>
    <mergeCell ref="F47:F48"/>
    <mergeCell ref="G47:G48"/>
    <mergeCell ref="H47:H48"/>
    <mergeCell ref="I47:I48"/>
    <mergeCell ref="J47:J48"/>
    <mergeCell ref="K47:K48"/>
    <mergeCell ref="K42:K43"/>
    <mergeCell ref="L42:L43"/>
    <mergeCell ref="M42:M43"/>
    <mergeCell ref="N42:N43"/>
    <mergeCell ref="O42:O43"/>
    <mergeCell ref="P42:P43"/>
    <mergeCell ref="E42:E43"/>
    <mergeCell ref="F42:F43"/>
    <mergeCell ref="I42:I43"/>
    <mergeCell ref="J42:J43"/>
    <mergeCell ref="S47:S48"/>
    <mergeCell ref="R32:R33"/>
    <mergeCell ref="S32:S33"/>
    <mergeCell ref="M47:M48"/>
    <mergeCell ref="N47:N48"/>
    <mergeCell ref="O47:O48"/>
    <mergeCell ref="P47:P48"/>
    <mergeCell ref="Q47:Q48"/>
    <mergeCell ref="G22:G23"/>
    <mergeCell ref="H22:H23"/>
    <mergeCell ref="I22:I23"/>
    <mergeCell ref="J22:J23"/>
    <mergeCell ref="K22:K23"/>
    <mergeCell ref="L22:L23"/>
    <mergeCell ref="S22:S23"/>
    <mergeCell ref="M22:M23"/>
    <mergeCell ref="N22:N23"/>
    <mergeCell ref="O22:O23"/>
    <mergeCell ref="P22:P23"/>
    <mergeCell ref="Q22:Q23"/>
    <mergeCell ref="R22:R23"/>
    <mergeCell ref="S42:S43"/>
    <mergeCell ref="G42:G43"/>
    <mergeCell ref="H42:H43"/>
    <mergeCell ref="Q2:Q3"/>
    <mergeCell ref="R2:R3"/>
    <mergeCell ref="M12:M13"/>
    <mergeCell ref="N12:N13"/>
    <mergeCell ref="O12:O13"/>
    <mergeCell ref="P12:P13"/>
    <mergeCell ref="Q12:Q13"/>
    <mergeCell ref="S2:S3"/>
    <mergeCell ref="M2:M3"/>
    <mergeCell ref="N2:N3"/>
    <mergeCell ref="O2:O3"/>
    <mergeCell ref="P2:P3"/>
    <mergeCell ref="R12:R13"/>
    <mergeCell ref="S12:S13"/>
    <mergeCell ref="K2:K3"/>
    <mergeCell ref="L2:L3"/>
    <mergeCell ref="E2:E3"/>
    <mergeCell ref="F2:F3"/>
    <mergeCell ref="G2:G3"/>
    <mergeCell ref="H2:H3"/>
    <mergeCell ref="I2:I3"/>
    <mergeCell ref="J2:J3"/>
    <mergeCell ref="L12:L13"/>
    <mergeCell ref="I57:I58"/>
    <mergeCell ref="J57:J58"/>
    <mergeCell ref="K57:K58"/>
    <mergeCell ref="L57:L58"/>
    <mergeCell ref="M57:M58"/>
    <mergeCell ref="E12:E13"/>
    <mergeCell ref="F12:F13"/>
    <mergeCell ref="G12:G13"/>
    <mergeCell ref="H12:H13"/>
    <mergeCell ref="I12:I13"/>
    <mergeCell ref="J12:J13"/>
    <mergeCell ref="K12:K13"/>
    <mergeCell ref="E32:E33"/>
    <mergeCell ref="F32:F33"/>
    <mergeCell ref="G32:G33"/>
    <mergeCell ref="H32:H33"/>
    <mergeCell ref="I32:I33"/>
    <mergeCell ref="J32:J33"/>
    <mergeCell ref="K32:K33"/>
    <mergeCell ref="L32:L33"/>
    <mergeCell ref="M32:M33"/>
    <mergeCell ref="E22:E23"/>
    <mergeCell ref="F22:F23"/>
    <mergeCell ref="N57:N58"/>
    <mergeCell ref="O57:O58"/>
    <mergeCell ref="P57:P58"/>
    <mergeCell ref="Q57:Q58"/>
    <mergeCell ref="R57:R58"/>
    <mergeCell ref="S57:S58"/>
    <mergeCell ref="E62:E63"/>
    <mergeCell ref="F62:F63"/>
    <mergeCell ref="G62:G63"/>
    <mergeCell ref="H62:H63"/>
    <mergeCell ref="I62:I63"/>
    <mergeCell ref="J62:J63"/>
    <mergeCell ref="K62:K63"/>
    <mergeCell ref="L62:L63"/>
    <mergeCell ref="M62:M63"/>
    <mergeCell ref="N62:N63"/>
    <mergeCell ref="O62:O63"/>
    <mergeCell ref="P62:P63"/>
    <mergeCell ref="Q62:Q63"/>
    <mergeCell ref="R62:R63"/>
    <mergeCell ref="S62:S63"/>
    <mergeCell ref="E57:E58"/>
    <mergeCell ref="F57:F58"/>
    <mergeCell ref="G57:G58"/>
    <mergeCell ref="C191:D191"/>
    <mergeCell ref="C192:D192"/>
    <mergeCell ref="C193:D193"/>
    <mergeCell ref="C194:D194"/>
    <mergeCell ref="C195:D195"/>
    <mergeCell ref="C196:D196"/>
    <mergeCell ref="C197:D197"/>
    <mergeCell ref="C198:D198"/>
    <mergeCell ref="C201:D201"/>
    <mergeCell ref="C202:D202"/>
    <mergeCell ref="C203:D203"/>
    <mergeCell ref="C204:D204"/>
    <mergeCell ref="C205:D205"/>
    <mergeCell ref="C206:D206"/>
    <mergeCell ref="C207:D207"/>
    <mergeCell ref="C208:D208"/>
    <mergeCell ref="C209:D209"/>
    <mergeCell ref="C210:D210"/>
    <mergeCell ref="C222:D222"/>
    <mergeCell ref="C224:O224"/>
    <mergeCell ref="C213:D213"/>
    <mergeCell ref="C214:D214"/>
    <mergeCell ref="C215:D215"/>
    <mergeCell ref="C216:D216"/>
    <mergeCell ref="C217:D217"/>
    <mergeCell ref="C218:D218"/>
    <mergeCell ref="C219:D219"/>
    <mergeCell ref="C220:D220"/>
    <mergeCell ref="C221:D221"/>
  </mergeCells>
  <phoneticPr fontId="110" type="noConversion"/>
  <hyperlinks>
    <hyperlink ref="K115" r:id="rId1" display="https://www.mpo.cz/cz/energetika/statistika/elektrina-a-teplo/emisni-faktor-co2-z-vyroby-elektriny-za-leta-2010_2021--260559/" xr:uid="{C56D95BB-0B7F-47FF-82DC-E805E04C72FB}"/>
    <hyperlink ref="K125" r:id="rId2" display="https://app.electricitymap.org/zone/CZ" xr:uid="{048E1F44-4CB6-4024-AF33-0BE53B0EF8E3}"/>
  </hyperlinks>
  <printOptions horizontalCentered="1"/>
  <pageMargins left="0.19685039370078741" right="0.15748031496062992" top="0.59055118110236227" bottom="0.59055118110236227" header="0.39370078740157483" footer="0.39370078740157483"/>
  <pageSetup paperSize="9" scale="53" fitToHeight="0" orientation="landscape" r:id="rId3"/>
  <headerFooter alignWithMargins="0">
    <oddFooter>&amp;L&amp;A &amp;P/2&amp;C&amp;D</oddFooter>
  </headerFooter>
  <legacy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List32">
    <pageSetUpPr fitToPage="1"/>
  </sheetPr>
  <dimension ref="A1:AC42"/>
  <sheetViews>
    <sheetView defaultGridColor="0" colorId="23" zoomScaleNormal="100" workbookViewId="0">
      <selection activeCell="M30" sqref="M30"/>
    </sheetView>
  </sheetViews>
  <sheetFormatPr defaultColWidth="9.140625" defaultRowHeight="13.5" x14ac:dyDescent="0.3"/>
  <cols>
    <col min="1" max="1" width="2.7109375" style="245" customWidth="1"/>
    <col min="2" max="2" width="5.7109375" style="245" customWidth="1"/>
    <col min="3" max="3" width="36.28515625" style="245" customWidth="1"/>
    <col min="4" max="19" width="12.7109375" style="245" customWidth="1"/>
    <col min="20" max="29" width="10.42578125" style="245" customWidth="1"/>
    <col min="30" max="35" width="7.140625" style="245" customWidth="1"/>
    <col min="36" max="16384" width="9.140625" style="245"/>
  </cols>
  <sheetData>
    <row r="1" spans="1:29" ht="14.25" thickBot="1" x14ac:dyDescent="0.35">
      <c r="A1" s="245" t="s">
        <v>2</v>
      </c>
    </row>
    <row r="2" spans="1:29" ht="12.75" customHeight="1" x14ac:dyDescent="0.3">
      <c r="B2" s="1514" t="s">
        <v>1515</v>
      </c>
      <c r="C2" s="246"/>
      <c r="D2" s="1515"/>
      <c r="E2" s="2129">
        <f>'1 CIN'!E3</f>
        <v>2026</v>
      </c>
      <c r="F2" s="2127">
        <f t="shared" ref="F2:S2" si="0">E2+1</f>
        <v>2027</v>
      </c>
      <c r="G2" s="2127">
        <f t="shared" si="0"/>
        <v>2028</v>
      </c>
      <c r="H2" s="2127">
        <f t="shared" si="0"/>
        <v>2029</v>
      </c>
      <c r="I2" s="2127">
        <f t="shared" si="0"/>
        <v>2030</v>
      </c>
      <c r="J2" s="2127">
        <f t="shared" si="0"/>
        <v>2031</v>
      </c>
      <c r="K2" s="2127">
        <f t="shared" si="0"/>
        <v>2032</v>
      </c>
      <c r="L2" s="2127">
        <f t="shared" si="0"/>
        <v>2033</v>
      </c>
      <c r="M2" s="2127">
        <f t="shared" si="0"/>
        <v>2034</v>
      </c>
      <c r="N2" s="2127">
        <f t="shared" si="0"/>
        <v>2035</v>
      </c>
      <c r="O2" s="2127">
        <f t="shared" si="0"/>
        <v>2036</v>
      </c>
      <c r="P2" s="2127">
        <f t="shared" si="0"/>
        <v>2037</v>
      </c>
      <c r="Q2" s="2127">
        <f t="shared" si="0"/>
        <v>2038</v>
      </c>
      <c r="R2" s="2127">
        <f t="shared" si="0"/>
        <v>2039</v>
      </c>
      <c r="S2" s="2125">
        <f t="shared" si="0"/>
        <v>2040</v>
      </c>
      <c r="T2" s="247"/>
      <c r="U2" s="247"/>
      <c r="V2" s="247"/>
      <c r="W2" s="247"/>
      <c r="X2" s="247"/>
      <c r="Y2" s="247"/>
      <c r="Z2" s="247"/>
      <c r="AA2" s="247"/>
      <c r="AB2" s="247"/>
      <c r="AC2" s="247"/>
    </row>
    <row r="3" spans="1:29" ht="15" thickBot="1" x14ac:dyDescent="0.35">
      <c r="B3" s="256" t="s">
        <v>4</v>
      </c>
      <c r="C3" s="1516" t="str">
        <f>IF('0 Úvod'!$M$10="English",Slovnik!$D$425,Slovnik!$C$425)</f>
        <v>Scénář s projektem</v>
      </c>
      <c r="D3" s="1517" t="str">
        <f>IF('0 Úvod'!$M$10="English",Slovnik!$D$427,Slovnik!$C$427)</f>
        <v>Celkem</v>
      </c>
      <c r="E3" s="2130"/>
      <c r="F3" s="2128"/>
      <c r="G3" s="2128"/>
      <c r="H3" s="2128"/>
      <c r="I3" s="2128"/>
      <c r="J3" s="2128"/>
      <c r="K3" s="2128"/>
      <c r="L3" s="2128"/>
      <c r="M3" s="2128"/>
      <c r="N3" s="2128"/>
      <c r="O3" s="2128"/>
      <c r="P3" s="2128"/>
      <c r="Q3" s="2128"/>
      <c r="R3" s="2128"/>
      <c r="S3" s="2126"/>
      <c r="T3" s="247"/>
      <c r="U3" s="247"/>
      <c r="V3" s="247"/>
      <c r="W3" s="247"/>
      <c r="X3" s="247"/>
      <c r="Y3" s="247"/>
      <c r="Z3" s="247"/>
      <c r="AA3" s="247"/>
      <c r="AB3" s="247"/>
      <c r="AC3" s="247"/>
    </row>
    <row r="4" spans="1:29" ht="14.25" x14ac:dyDescent="0.3">
      <c r="B4" s="1518"/>
      <c r="C4" s="500"/>
      <c r="D4" s="1154">
        <f>SUM(E4:S4,E12:S12)</f>
        <v>0</v>
      </c>
      <c r="E4" s="255"/>
      <c r="F4" s="255"/>
      <c r="G4" s="255"/>
      <c r="H4" s="255"/>
      <c r="I4" s="255"/>
      <c r="J4" s="255"/>
      <c r="K4" s="255"/>
      <c r="L4" s="255"/>
      <c r="M4" s="255"/>
      <c r="N4" s="255"/>
      <c r="O4" s="255"/>
      <c r="P4" s="255"/>
      <c r="Q4" s="255"/>
      <c r="R4" s="255"/>
      <c r="S4" s="255"/>
      <c r="T4" s="477"/>
      <c r="U4" s="236"/>
      <c r="V4" s="236"/>
      <c r="W4" s="236"/>
      <c r="X4" s="236"/>
      <c r="Y4" s="236"/>
      <c r="Z4" s="236"/>
      <c r="AA4" s="236"/>
      <c r="AB4" s="236"/>
      <c r="AC4" s="236"/>
    </row>
    <row r="5" spans="1:29" ht="14.25" x14ac:dyDescent="0.3">
      <c r="B5" s="1518"/>
      <c r="C5" s="500"/>
      <c r="D5" s="1156">
        <f>SUM(E5:S5,E13:S13)</f>
        <v>0</v>
      </c>
      <c r="E5" s="255"/>
      <c r="F5" s="255"/>
      <c r="G5" s="255"/>
      <c r="H5" s="255"/>
      <c r="I5" s="255"/>
      <c r="J5" s="255"/>
      <c r="K5" s="255"/>
      <c r="L5" s="255"/>
      <c r="M5" s="255"/>
      <c r="N5" s="255"/>
      <c r="O5" s="255"/>
      <c r="P5" s="255"/>
      <c r="Q5" s="255"/>
      <c r="R5" s="255"/>
      <c r="S5" s="255"/>
      <c r="T5" s="477"/>
      <c r="U5" s="236"/>
      <c r="V5" s="236"/>
      <c r="W5" s="236"/>
      <c r="X5" s="236"/>
      <c r="Y5" s="236"/>
      <c r="Z5" s="236"/>
      <c r="AA5" s="236"/>
      <c r="AB5" s="236"/>
      <c r="AC5" s="236"/>
    </row>
    <row r="6" spans="1:29" ht="14.25" x14ac:dyDescent="0.3">
      <c r="B6" s="1518"/>
      <c r="C6" s="500"/>
      <c r="D6" s="1156">
        <f>SUM(E6:S6,E14:S14)</f>
        <v>0</v>
      </c>
      <c r="E6" s="255"/>
      <c r="F6" s="255"/>
      <c r="G6" s="255"/>
      <c r="H6" s="255"/>
      <c r="I6" s="255"/>
      <c r="J6" s="255"/>
      <c r="K6" s="255"/>
      <c r="L6" s="255"/>
      <c r="M6" s="255"/>
      <c r="N6" s="255"/>
      <c r="O6" s="255"/>
      <c r="P6" s="255"/>
      <c r="Q6" s="255"/>
      <c r="R6" s="255"/>
      <c r="S6" s="255"/>
      <c r="T6" s="477"/>
      <c r="U6" s="236"/>
      <c r="V6" s="236"/>
      <c r="W6" s="236"/>
      <c r="X6" s="236"/>
      <c r="Y6" s="236"/>
      <c r="Z6" s="236"/>
      <c r="AA6" s="236"/>
      <c r="AB6" s="236"/>
      <c r="AC6" s="236"/>
    </row>
    <row r="7" spans="1:29" ht="14.25" x14ac:dyDescent="0.3">
      <c r="B7" s="1519"/>
      <c r="C7" s="500"/>
      <c r="D7" s="1158">
        <f>SUM(E7:S7,E15:S15)</f>
        <v>0</v>
      </c>
      <c r="E7" s="255"/>
      <c r="F7" s="255"/>
      <c r="G7" s="255"/>
      <c r="H7" s="255"/>
      <c r="I7" s="255"/>
      <c r="J7" s="255"/>
      <c r="K7" s="255"/>
      <c r="L7" s="255"/>
      <c r="M7" s="255"/>
      <c r="N7" s="255"/>
      <c r="O7" s="255"/>
      <c r="P7" s="255"/>
      <c r="Q7" s="255"/>
      <c r="R7" s="255"/>
      <c r="S7" s="255"/>
      <c r="T7" s="477"/>
      <c r="U7" s="236"/>
      <c r="V7" s="236"/>
      <c r="W7" s="236"/>
      <c r="X7" s="236"/>
      <c r="Y7" s="236"/>
      <c r="Z7" s="236"/>
      <c r="AA7" s="236"/>
      <c r="AB7" s="236"/>
      <c r="AC7" s="236"/>
    </row>
    <row r="8" spans="1:29" ht="15" thickBot="1" x14ac:dyDescent="0.35">
      <c r="B8" s="239"/>
      <c r="C8" s="1520" t="str">
        <f>IF('0 Úvod'!$M$10="English",Slovnik!$D$426,Slovnik!$C$426)</f>
        <v>Celkové ostatní přínosy (CZK)</v>
      </c>
      <c r="D8" s="1521">
        <f>SUM(E8:S8,E16:S16)</f>
        <v>0</v>
      </c>
      <c r="E8" s="1522">
        <f>SUM(E4:E7)</f>
        <v>0</v>
      </c>
      <c r="F8" s="1523">
        <f>SUM(F4:F7)</f>
        <v>0</v>
      </c>
      <c r="G8" s="1523">
        <f t="shared" ref="G8:S8" si="1">SUM(G4:G7)</f>
        <v>0</v>
      </c>
      <c r="H8" s="1523">
        <f t="shared" si="1"/>
        <v>0</v>
      </c>
      <c r="I8" s="1523">
        <f t="shared" si="1"/>
        <v>0</v>
      </c>
      <c r="J8" s="1523">
        <f t="shared" si="1"/>
        <v>0</v>
      </c>
      <c r="K8" s="1523">
        <f t="shared" si="1"/>
        <v>0</v>
      </c>
      <c r="L8" s="1523">
        <f t="shared" si="1"/>
        <v>0</v>
      </c>
      <c r="M8" s="1523">
        <f t="shared" si="1"/>
        <v>0</v>
      </c>
      <c r="N8" s="1523">
        <f t="shared" si="1"/>
        <v>0</v>
      </c>
      <c r="O8" s="1523">
        <f t="shared" si="1"/>
        <v>0</v>
      </c>
      <c r="P8" s="1523">
        <f t="shared" si="1"/>
        <v>0</v>
      </c>
      <c r="Q8" s="1523">
        <f t="shared" si="1"/>
        <v>0</v>
      </c>
      <c r="R8" s="1523">
        <f t="shared" si="1"/>
        <v>0</v>
      </c>
      <c r="S8" s="1524">
        <f t="shared" si="1"/>
        <v>0</v>
      </c>
      <c r="T8" s="237"/>
      <c r="U8" s="237"/>
      <c r="V8" s="237"/>
      <c r="W8" s="237"/>
      <c r="X8" s="237"/>
      <c r="Y8" s="237"/>
      <c r="Z8" s="237"/>
      <c r="AA8" s="237"/>
      <c r="AB8" s="237"/>
      <c r="AC8" s="237"/>
    </row>
    <row r="9" spans="1:29" ht="14.25" thickBot="1" x14ac:dyDescent="0.35">
      <c r="B9" s="1349"/>
      <c r="C9" s="1165"/>
      <c r="D9" s="1525"/>
      <c r="E9" s="1167"/>
      <c r="F9" s="1167"/>
      <c r="G9" s="1167"/>
      <c r="H9" s="1167"/>
      <c r="I9" s="1167"/>
      <c r="J9" s="1167"/>
      <c r="K9" s="1167"/>
      <c r="L9" s="1167"/>
      <c r="M9" s="1167"/>
      <c r="N9" s="1167"/>
      <c r="O9" s="1167"/>
      <c r="P9" s="1167"/>
      <c r="Q9" s="1167"/>
      <c r="R9" s="1167"/>
      <c r="S9" s="1167"/>
      <c r="T9" s="236"/>
      <c r="U9" s="236"/>
      <c r="V9" s="236"/>
      <c r="W9" s="236"/>
      <c r="X9" s="236"/>
      <c r="Y9" s="236"/>
      <c r="Z9" s="236"/>
      <c r="AA9" s="236"/>
      <c r="AB9" s="236"/>
      <c r="AC9" s="236"/>
    </row>
    <row r="10" spans="1:29" ht="14.25" x14ac:dyDescent="0.3">
      <c r="B10" s="1514" t="str">
        <f>B2</f>
        <v>12.1.</v>
      </c>
      <c r="C10" s="251"/>
      <c r="D10" s="1515"/>
      <c r="E10" s="2129">
        <f>S2+1</f>
        <v>2041</v>
      </c>
      <c r="F10" s="2127">
        <f t="shared" ref="F10:S10" si="2">E10+1</f>
        <v>2042</v>
      </c>
      <c r="G10" s="2127">
        <f t="shared" si="2"/>
        <v>2043</v>
      </c>
      <c r="H10" s="2127">
        <f t="shared" si="2"/>
        <v>2044</v>
      </c>
      <c r="I10" s="2127">
        <f t="shared" si="2"/>
        <v>2045</v>
      </c>
      <c r="J10" s="2127">
        <f t="shared" si="2"/>
        <v>2046</v>
      </c>
      <c r="K10" s="2127">
        <f t="shared" si="2"/>
        <v>2047</v>
      </c>
      <c r="L10" s="2127">
        <f t="shared" si="2"/>
        <v>2048</v>
      </c>
      <c r="M10" s="2127">
        <f t="shared" si="2"/>
        <v>2049</v>
      </c>
      <c r="N10" s="2127">
        <f t="shared" si="2"/>
        <v>2050</v>
      </c>
      <c r="O10" s="2127">
        <f t="shared" si="2"/>
        <v>2051</v>
      </c>
      <c r="P10" s="2127">
        <f t="shared" si="2"/>
        <v>2052</v>
      </c>
      <c r="Q10" s="2127">
        <f t="shared" si="2"/>
        <v>2053</v>
      </c>
      <c r="R10" s="2127">
        <f t="shared" si="2"/>
        <v>2054</v>
      </c>
      <c r="S10" s="2125">
        <f t="shared" si="2"/>
        <v>2055</v>
      </c>
      <c r="T10" s="247"/>
      <c r="U10" s="247"/>
      <c r="V10" s="247"/>
      <c r="W10" s="247"/>
      <c r="X10" s="247"/>
      <c r="Y10" s="247"/>
      <c r="Z10" s="247"/>
      <c r="AA10" s="247"/>
      <c r="AB10" s="247"/>
      <c r="AC10" s="247"/>
    </row>
    <row r="11" spans="1:29" ht="15" thickBot="1" x14ac:dyDescent="0.35">
      <c r="B11" s="257" t="s">
        <v>5</v>
      </c>
      <c r="C11" s="1516" t="str">
        <f>C3</f>
        <v>Scénář s projektem</v>
      </c>
      <c r="D11" s="298"/>
      <c r="E11" s="2130"/>
      <c r="F11" s="2128"/>
      <c r="G11" s="2128"/>
      <c r="H11" s="2128"/>
      <c r="I11" s="2128"/>
      <c r="J11" s="2128"/>
      <c r="K11" s="2128"/>
      <c r="L11" s="2128"/>
      <c r="M11" s="2128"/>
      <c r="N11" s="2128"/>
      <c r="O11" s="2128"/>
      <c r="P11" s="2128"/>
      <c r="Q11" s="2128"/>
      <c r="R11" s="2128"/>
      <c r="S11" s="2126"/>
      <c r="T11" s="247"/>
      <c r="U11" s="247"/>
      <c r="V11" s="247"/>
      <c r="W11" s="247"/>
      <c r="X11" s="247"/>
      <c r="Y11" s="247"/>
      <c r="Z11" s="247"/>
      <c r="AA11" s="247"/>
      <c r="AB11" s="247"/>
      <c r="AC11" s="247"/>
    </row>
    <row r="12" spans="1:29" ht="14.25" x14ac:dyDescent="0.3">
      <c r="B12" s="1526"/>
      <c r="C12" s="248" t="str">
        <f>IF(C4="","",C4)</f>
        <v/>
      </c>
      <c r="D12" s="1527"/>
      <c r="E12" s="255"/>
      <c r="F12" s="255"/>
      <c r="G12" s="255"/>
      <c r="H12" s="255"/>
      <c r="I12" s="255"/>
      <c r="J12" s="255"/>
      <c r="K12" s="255"/>
      <c r="L12" s="255"/>
      <c r="M12" s="255"/>
      <c r="N12" s="255"/>
      <c r="O12" s="255"/>
      <c r="P12" s="255"/>
      <c r="Q12" s="255"/>
      <c r="R12" s="255"/>
      <c r="S12" s="255"/>
      <c r="T12" s="477"/>
      <c r="U12" s="236"/>
      <c r="V12" s="236"/>
      <c r="W12" s="236"/>
      <c r="X12" s="236"/>
      <c r="Y12" s="236"/>
      <c r="Z12" s="236"/>
      <c r="AA12" s="236"/>
      <c r="AB12" s="236"/>
      <c r="AC12" s="236"/>
    </row>
    <row r="13" spans="1:29" ht="14.25" x14ac:dyDescent="0.3">
      <c r="B13" s="1518"/>
      <c r="C13" s="248" t="str">
        <f>IF(C5="","",C5)</f>
        <v/>
      </c>
      <c r="D13" s="1172"/>
      <c r="E13" s="255"/>
      <c r="F13" s="255"/>
      <c r="G13" s="255"/>
      <c r="H13" s="255"/>
      <c r="I13" s="255"/>
      <c r="J13" s="255"/>
      <c r="K13" s="255"/>
      <c r="L13" s="255"/>
      <c r="M13" s="255"/>
      <c r="N13" s="255"/>
      <c r="O13" s="255"/>
      <c r="P13" s="255"/>
      <c r="Q13" s="255"/>
      <c r="R13" s="255"/>
      <c r="S13" s="255"/>
      <c r="T13" s="477"/>
      <c r="U13" s="236"/>
      <c r="V13" s="236"/>
      <c r="W13" s="236"/>
      <c r="X13" s="236"/>
      <c r="Y13" s="236"/>
      <c r="Z13" s="236"/>
      <c r="AA13" s="236"/>
      <c r="AB13" s="236"/>
      <c r="AC13" s="236"/>
    </row>
    <row r="14" spans="1:29" ht="14.25" x14ac:dyDescent="0.3">
      <c r="B14" s="1518"/>
      <c r="C14" s="248" t="str">
        <f>IF(C6="","",C6)</f>
        <v/>
      </c>
      <c r="D14" s="1172"/>
      <c r="E14" s="255"/>
      <c r="F14" s="255"/>
      <c r="G14" s="255"/>
      <c r="H14" s="255"/>
      <c r="I14" s="255"/>
      <c r="J14" s="255"/>
      <c r="K14" s="255"/>
      <c r="L14" s="255"/>
      <c r="M14" s="255"/>
      <c r="N14" s="255"/>
      <c r="O14" s="255"/>
      <c r="P14" s="255"/>
      <c r="Q14" s="255"/>
      <c r="R14" s="255"/>
      <c r="S14" s="255"/>
      <c r="T14" s="477"/>
      <c r="U14" s="236"/>
      <c r="V14" s="236"/>
      <c r="W14" s="236"/>
      <c r="X14" s="236"/>
      <c r="Y14" s="236"/>
      <c r="Z14" s="236"/>
      <c r="AA14" s="236"/>
      <c r="AB14" s="236"/>
      <c r="AC14" s="236"/>
    </row>
    <row r="15" spans="1:29" ht="14.25" x14ac:dyDescent="0.3">
      <c r="B15" s="1519"/>
      <c r="C15" s="248" t="str">
        <f>IF(C7="","",C7)</f>
        <v/>
      </c>
      <c r="D15" s="1174"/>
      <c r="E15" s="255"/>
      <c r="F15" s="255"/>
      <c r="G15" s="255"/>
      <c r="H15" s="255"/>
      <c r="I15" s="255"/>
      <c r="J15" s="255"/>
      <c r="K15" s="255"/>
      <c r="L15" s="255"/>
      <c r="M15" s="255"/>
      <c r="N15" s="255"/>
      <c r="O15" s="255"/>
      <c r="P15" s="255"/>
      <c r="Q15" s="255"/>
      <c r="R15" s="255"/>
      <c r="S15" s="255"/>
      <c r="T15" s="477"/>
      <c r="U15" s="236"/>
      <c r="V15" s="236"/>
      <c r="W15" s="236"/>
      <c r="X15" s="236"/>
      <c r="Y15" s="236"/>
      <c r="Z15" s="236"/>
      <c r="AA15" s="236"/>
      <c r="AB15" s="236"/>
      <c r="AC15" s="236"/>
    </row>
    <row r="16" spans="1:29" ht="15" thickBot="1" x14ac:dyDescent="0.35">
      <c r="A16" s="252"/>
      <c r="B16" s="239"/>
      <c r="C16" s="1528" t="str">
        <f>C8</f>
        <v>Celkové ostatní přínosy (CZK)</v>
      </c>
      <c r="D16" s="545"/>
      <c r="E16" s="1522">
        <f t="shared" ref="E16:S16" si="3">SUM(E12:E15)</f>
        <v>0</v>
      </c>
      <c r="F16" s="1523">
        <f t="shared" si="3"/>
        <v>0</v>
      </c>
      <c r="G16" s="1523">
        <f t="shared" si="3"/>
        <v>0</v>
      </c>
      <c r="H16" s="1523">
        <f t="shared" si="3"/>
        <v>0</v>
      </c>
      <c r="I16" s="1523">
        <f t="shared" si="3"/>
        <v>0</v>
      </c>
      <c r="J16" s="1523">
        <f t="shared" si="3"/>
        <v>0</v>
      </c>
      <c r="K16" s="1523">
        <f t="shared" si="3"/>
        <v>0</v>
      </c>
      <c r="L16" s="1523">
        <f t="shared" si="3"/>
        <v>0</v>
      </c>
      <c r="M16" s="1523">
        <f t="shared" si="3"/>
        <v>0</v>
      </c>
      <c r="N16" s="1523">
        <f t="shared" si="3"/>
        <v>0</v>
      </c>
      <c r="O16" s="1523">
        <f t="shared" si="3"/>
        <v>0</v>
      </c>
      <c r="P16" s="1523">
        <f t="shared" si="3"/>
        <v>0</v>
      </c>
      <c r="Q16" s="1523">
        <f t="shared" si="3"/>
        <v>0</v>
      </c>
      <c r="R16" s="1523">
        <f t="shared" si="3"/>
        <v>0</v>
      </c>
      <c r="S16" s="1524">
        <f t="shared" si="3"/>
        <v>0</v>
      </c>
      <c r="T16" s="237"/>
      <c r="U16" s="237"/>
      <c r="V16" s="237"/>
      <c r="W16" s="237"/>
      <c r="X16" s="237"/>
      <c r="Y16" s="237"/>
      <c r="Z16" s="237"/>
      <c r="AA16" s="237"/>
      <c r="AB16" s="237"/>
      <c r="AC16" s="237"/>
    </row>
    <row r="17" spans="1:29" ht="14.25" x14ac:dyDescent="0.3">
      <c r="A17" s="252"/>
      <c r="B17" s="609"/>
      <c r="C17" s="610"/>
      <c r="D17" s="611"/>
      <c r="E17" s="1166"/>
      <c r="F17" s="1166"/>
      <c r="G17" s="1166"/>
      <c r="H17" s="1166"/>
      <c r="I17" s="1166"/>
      <c r="J17" s="1166"/>
      <c r="K17" s="1166"/>
      <c r="L17" s="1166"/>
      <c r="M17" s="1166"/>
      <c r="N17" s="1166"/>
      <c r="O17" s="1166"/>
      <c r="P17" s="1166"/>
      <c r="Q17" s="1166"/>
      <c r="R17" s="1166"/>
      <c r="S17" s="1166"/>
      <c r="T17" s="237"/>
      <c r="U17" s="237"/>
      <c r="V17" s="237"/>
      <c r="W17" s="237"/>
      <c r="X17" s="237"/>
      <c r="Y17" s="237"/>
      <c r="Z17" s="237"/>
      <c r="AA17" s="237"/>
      <c r="AB17" s="237"/>
      <c r="AC17" s="237"/>
    </row>
    <row r="18" spans="1:29" ht="14.25" thickBot="1" x14ac:dyDescent="0.35">
      <c r="B18" s="609"/>
      <c r="C18" s="1165"/>
      <c r="D18" s="1167"/>
      <c r="E18" s="1167"/>
      <c r="F18" s="1167"/>
      <c r="G18" s="1167"/>
      <c r="H18" s="1167"/>
      <c r="I18" s="1167"/>
      <c r="J18" s="1167"/>
      <c r="K18" s="1167"/>
      <c r="L18" s="1167"/>
      <c r="M18" s="1167"/>
      <c r="N18" s="1167"/>
      <c r="O18" s="1167"/>
      <c r="P18" s="1167"/>
      <c r="Q18" s="1167"/>
      <c r="R18" s="1167"/>
      <c r="S18" s="1167"/>
      <c r="T18" s="236"/>
      <c r="U18" s="236"/>
      <c r="V18" s="236"/>
      <c r="W18" s="236"/>
      <c r="X18" s="236"/>
      <c r="Y18" s="236"/>
      <c r="Z18" s="236"/>
      <c r="AA18" s="236"/>
      <c r="AB18" s="236"/>
      <c r="AC18" s="236"/>
    </row>
    <row r="19" spans="1:29" ht="12.75" customHeight="1" x14ac:dyDescent="0.3">
      <c r="B19" s="1203" t="s">
        <v>1514</v>
      </c>
      <c r="C19" s="1529">
        <f>C2</f>
        <v>0</v>
      </c>
      <c r="D19" s="1530"/>
      <c r="E19" s="2016">
        <f>E2</f>
        <v>2026</v>
      </c>
      <c r="F19" s="2016">
        <f t="shared" ref="F19:S19" si="4">E19+1</f>
        <v>2027</v>
      </c>
      <c r="G19" s="2016">
        <f t="shared" si="4"/>
        <v>2028</v>
      </c>
      <c r="H19" s="2016">
        <f t="shared" si="4"/>
        <v>2029</v>
      </c>
      <c r="I19" s="2016">
        <f t="shared" si="4"/>
        <v>2030</v>
      </c>
      <c r="J19" s="2016">
        <f t="shared" si="4"/>
        <v>2031</v>
      </c>
      <c r="K19" s="2016">
        <f t="shared" si="4"/>
        <v>2032</v>
      </c>
      <c r="L19" s="2016">
        <f t="shared" si="4"/>
        <v>2033</v>
      </c>
      <c r="M19" s="2016">
        <f t="shared" si="4"/>
        <v>2034</v>
      </c>
      <c r="N19" s="2016">
        <f t="shared" si="4"/>
        <v>2035</v>
      </c>
      <c r="O19" s="2016">
        <f t="shared" si="4"/>
        <v>2036</v>
      </c>
      <c r="P19" s="2016">
        <f t="shared" si="4"/>
        <v>2037</v>
      </c>
      <c r="Q19" s="2016">
        <f t="shared" si="4"/>
        <v>2038</v>
      </c>
      <c r="R19" s="2016">
        <f t="shared" si="4"/>
        <v>2039</v>
      </c>
      <c r="S19" s="2034">
        <f t="shared" si="4"/>
        <v>2040</v>
      </c>
      <c r="T19" s="247"/>
      <c r="U19" s="247"/>
      <c r="V19" s="247"/>
      <c r="W19" s="247"/>
      <c r="X19" s="247"/>
      <c r="Y19" s="247"/>
      <c r="Z19" s="247"/>
      <c r="AA19" s="247"/>
      <c r="AB19" s="247"/>
      <c r="AC19" s="247"/>
    </row>
    <row r="20" spans="1:29" ht="12.75" customHeight="1" thickBot="1" x14ac:dyDescent="0.35">
      <c r="A20" s="254"/>
      <c r="B20" s="1205" t="s">
        <v>4</v>
      </c>
      <c r="C20" s="1206" t="str">
        <f>C3</f>
        <v>Scénář s projektem</v>
      </c>
      <c r="D20" s="1207" t="str">
        <f>D3</f>
        <v>Celkem</v>
      </c>
      <c r="E20" s="2109"/>
      <c r="F20" s="2109"/>
      <c r="G20" s="2109"/>
      <c r="H20" s="2109"/>
      <c r="I20" s="2109"/>
      <c r="J20" s="2109"/>
      <c r="K20" s="2109"/>
      <c r="L20" s="2109"/>
      <c r="M20" s="2109"/>
      <c r="N20" s="2109"/>
      <c r="O20" s="2109"/>
      <c r="P20" s="2109"/>
      <c r="Q20" s="2109"/>
      <c r="R20" s="2109"/>
      <c r="S20" s="2110"/>
      <c r="T20" s="247"/>
      <c r="U20" s="247"/>
      <c r="V20" s="247"/>
      <c r="W20" s="247"/>
      <c r="X20" s="247"/>
      <c r="Y20" s="247"/>
      <c r="Z20" s="247"/>
      <c r="AA20" s="247"/>
      <c r="AB20" s="247"/>
      <c r="AC20" s="247"/>
    </row>
    <row r="21" spans="1:29" ht="12.75" customHeight="1" x14ac:dyDescent="0.3">
      <c r="A21" s="254"/>
      <c r="B21" s="1518"/>
      <c r="C21" s="1531" t="str">
        <f>IF(C4="","",C4)</f>
        <v/>
      </c>
      <c r="D21" s="1156">
        <f>SUM(E21:S21,E29:S29)</f>
        <v>0</v>
      </c>
      <c r="E21" s="1532">
        <f t="shared" ref="E21:S24" si="5">E4</f>
        <v>0</v>
      </c>
      <c r="F21" s="1533">
        <f t="shared" si="5"/>
        <v>0</v>
      </c>
      <c r="G21" s="1533">
        <f t="shared" si="5"/>
        <v>0</v>
      </c>
      <c r="H21" s="1533">
        <f t="shared" si="5"/>
        <v>0</v>
      </c>
      <c r="I21" s="1533">
        <f t="shared" si="5"/>
        <v>0</v>
      </c>
      <c r="J21" s="1533">
        <f t="shared" si="5"/>
        <v>0</v>
      </c>
      <c r="K21" s="1533">
        <f t="shared" si="5"/>
        <v>0</v>
      </c>
      <c r="L21" s="1533">
        <f t="shared" si="5"/>
        <v>0</v>
      </c>
      <c r="M21" s="1533">
        <f t="shared" si="5"/>
        <v>0</v>
      </c>
      <c r="N21" s="1533">
        <f t="shared" si="5"/>
        <v>0</v>
      </c>
      <c r="O21" s="1533">
        <f t="shared" si="5"/>
        <v>0</v>
      </c>
      <c r="P21" s="1533">
        <f t="shared" si="5"/>
        <v>0</v>
      </c>
      <c r="Q21" s="1533">
        <f t="shared" si="5"/>
        <v>0</v>
      </c>
      <c r="R21" s="1533">
        <f t="shared" si="5"/>
        <v>0</v>
      </c>
      <c r="S21" s="1534">
        <f t="shared" si="5"/>
        <v>0</v>
      </c>
      <c r="T21" s="237"/>
      <c r="U21" s="237"/>
      <c r="V21" s="237"/>
      <c r="W21" s="237"/>
      <c r="X21" s="237"/>
      <c r="Y21" s="237"/>
      <c r="Z21" s="237"/>
      <c r="AA21" s="237"/>
      <c r="AB21" s="237"/>
      <c r="AC21" s="237"/>
    </row>
    <row r="22" spans="1:29" ht="12.75" customHeight="1" x14ac:dyDescent="0.3">
      <c r="A22" s="254"/>
      <c r="B22" s="1518"/>
      <c r="C22" s="1531" t="str">
        <f>IF(C5="","",C5)</f>
        <v/>
      </c>
      <c r="D22" s="1156">
        <f>SUM(E22:S22,E30:S30)</f>
        <v>0</v>
      </c>
      <c r="E22" s="1535">
        <f t="shared" si="5"/>
        <v>0</v>
      </c>
      <c r="F22" s="1536">
        <f t="shared" si="5"/>
        <v>0</v>
      </c>
      <c r="G22" s="1536">
        <f t="shared" si="5"/>
        <v>0</v>
      </c>
      <c r="H22" s="1536">
        <f t="shared" si="5"/>
        <v>0</v>
      </c>
      <c r="I22" s="1536">
        <f t="shared" si="5"/>
        <v>0</v>
      </c>
      <c r="J22" s="1536">
        <f t="shared" si="5"/>
        <v>0</v>
      </c>
      <c r="K22" s="1536">
        <f t="shared" si="5"/>
        <v>0</v>
      </c>
      <c r="L22" s="1536">
        <f t="shared" si="5"/>
        <v>0</v>
      </c>
      <c r="M22" s="1536">
        <f t="shared" si="5"/>
        <v>0</v>
      </c>
      <c r="N22" s="1536">
        <f t="shared" si="5"/>
        <v>0</v>
      </c>
      <c r="O22" s="1536">
        <f t="shared" si="5"/>
        <v>0</v>
      </c>
      <c r="P22" s="1536">
        <f t="shared" si="5"/>
        <v>0</v>
      </c>
      <c r="Q22" s="1536">
        <f t="shared" si="5"/>
        <v>0</v>
      </c>
      <c r="R22" s="1536">
        <f t="shared" si="5"/>
        <v>0</v>
      </c>
      <c r="S22" s="1537">
        <f t="shared" si="5"/>
        <v>0</v>
      </c>
      <c r="T22" s="237"/>
      <c r="U22" s="237"/>
      <c r="V22" s="237"/>
      <c r="W22" s="237"/>
      <c r="X22" s="237"/>
      <c r="Y22" s="237"/>
      <c r="Z22" s="237"/>
      <c r="AA22" s="237"/>
      <c r="AB22" s="237"/>
      <c r="AC22" s="237"/>
    </row>
    <row r="23" spans="1:29" ht="12.75" customHeight="1" x14ac:dyDescent="0.3">
      <c r="A23" s="254"/>
      <c r="B23" s="1518"/>
      <c r="C23" s="1531" t="str">
        <f>IF(C6="","",C6)</f>
        <v/>
      </c>
      <c r="D23" s="1156">
        <f>SUM(E23:S23,E31:S31)</f>
        <v>0</v>
      </c>
      <c r="E23" s="1535">
        <f t="shared" si="5"/>
        <v>0</v>
      </c>
      <c r="F23" s="1536">
        <f t="shared" si="5"/>
        <v>0</v>
      </c>
      <c r="G23" s="1536">
        <f t="shared" si="5"/>
        <v>0</v>
      </c>
      <c r="H23" s="1536">
        <f t="shared" si="5"/>
        <v>0</v>
      </c>
      <c r="I23" s="1536">
        <f t="shared" si="5"/>
        <v>0</v>
      </c>
      <c r="J23" s="1536">
        <f t="shared" si="5"/>
        <v>0</v>
      </c>
      <c r="K23" s="1536">
        <f t="shared" si="5"/>
        <v>0</v>
      </c>
      <c r="L23" s="1536">
        <f t="shared" si="5"/>
        <v>0</v>
      </c>
      <c r="M23" s="1536">
        <f t="shared" si="5"/>
        <v>0</v>
      </c>
      <c r="N23" s="1536">
        <f t="shared" si="5"/>
        <v>0</v>
      </c>
      <c r="O23" s="1536">
        <f t="shared" si="5"/>
        <v>0</v>
      </c>
      <c r="P23" s="1536">
        <f t="shared" si="5"/>
        <v>0</v>
      </c>
      <c r="Q23" s="1536">
        <f t="shared" si="5"/>
        <v>0</v>
      </c>
      <c r="R23" s="1536">
        <f t="shared" si="5"/>
        <v>0</v>
      </c>
      <c r="S23" s="1537">
        <f t="shared" si="5"/>
        <v>0</v>
      </c>
      <c r="T23" s="237"/>
      <c r="U23" s="237"/>
      <c r="V23" s="237"/>
      <c r="W23" s="237"/>
      <c r="X23" s="237"/>
      <c r="Y23" s="237"/>
      <c r="Z23" s="237"/>
      <c r="AA23" s="237"/>
      <c r="AB23" s="237"/>
      <c r="AC23" s="237"/>
    </row>
    <row r="24" spans="1:29" ht="12.75" customHeight="1" x14ac:dyDescent="0.3">
      <c r="A24" s="254"/>
      <c r="B24" s="1519"/>
      <c r="C24" s="1538" t="str">
        <f>IF(C7="","",C7)</f>
        <v/>
      </c>
      <c r="D24" s="1156">
        <f>SUM(E24:S24,E32:S32)</f>
        <v>0</v>
      </c>
      <c r="E24" s="1539">
        <f t="shared" si="5"/>
        <v>0</v>
      </c>
      <c r="F24" s="1540">
        <f t="shared" si="5"/>
        <v>0</v>
      </c>
      <c r="G24" s="1540">
        <f t="shared" si="5"/>
        <v>0</v>
      </c>
      <c r="H24" s="1540">
        <f t="shared" si="5"/>
        <v>0</v>
      </c>
      <c r="I24" s="1540">
        <f t="shared" si="5"/>
        <v>0</v>
      </c>
      <c r="J24" s="1540">
        <f t="shared" si="5"/>
        <v>0</v>
      </c>
      <c r="K24" s="1540">
        <f t="shared" si="5"/>
        <v>0</v>
      </c>
      <c r="L24" s="1540">
        <f t="shared" si="5"/>
        <v>0</v>
      </c>
      <c r="M24" s="1540">
        <f t="shared" si="5"/>
        <v>0</v>
      </c>
      <c r="N24" s="1540">
        <f t="shared" si="5"/>
        <v>0</v>
      </c>
      <c r="O24" s="1540">
        <f t="shared" si="5"/>
        <v>0</v>
      </c>
      <c r="P24" s="1540">
        <f t="shared" si="5"/>
        <v>0</v>
      </c>
      <c r="Q24" s="1540">
        <f t="shared" si="5"/>
        <v>0</v>
      </c>
      <c r="R24" s="1540">
        <f t="shared" si="5"/>
        <v>0</v>
      </c>
      <c r="S24" s="1541">
        <f t="shared" si="5"/>
        <v>0</v>
      </c>
      <c r="T24" s="237"/>
      <c r="U24" s="237"/>
      <c r="V24" s="237"/>
      <c r="W24" s="237"/>
      <c r="X24" s="237"/>
      <c r="Y24" s="237"/>
      <c r="Z24" s="237"/>
      <c r="AA24" s="237"/>
      <c r="AB24" s="237"/>
      <c r="AC24" s="237"/>
    </row>
    <row r="25" spans="1:29" ht="15" thickBot="1" x14ac:dyDescent="0.35">
      <c r="B25" s="1542"/>
      <c r="C25" s="1220" t="str">
        <f>C16</f>
        <v>Celkové ostatní přínosy (CZK)</v>
      </c>
      <c r="D25" s="1221">
        <f>SUM(E25:S25,E33:S33)</f>
        <v>0</v>
      </c>
      <c r="E25" s="1222">
        <f>SUM(E21:E24)</f>
        <v>0</v>
      </c>
      <c r="F25" s="1223">
        <f t="shared" ref="F25:S25" si="6">SUM(F21:F24)</f>
        <v>0</v>
      </c>
      <c r="G25" s="1223">
        <f t="shared" si="6"/>
        <v>0</v>
      </c>
      <c r="H25" s="1223">
        <f t="shared" si="6"/>
        <v>0</v>
      </c>
      <c r="I25" s="1223">
        <f t="shared" si="6"/>
        <v>0</v>
      </c>
      <c r="J25" s="1223">
        <f t="shared" si="6"/>
        <v>0</v>
      </c>
      <c r="K25" s="1223">
        <f t="shared" si="6"/>
        <v>0</v>
      </c>
      <c r="L25" s="1223">
        <f t="shared" si="6"/>
        <v>0</v>
      </c>
      <c r="M25" s="1223">
        <f t="shared" si="6"/>
        <v>0</v>
      </c>
      <c r="N25" s="1223">
        <f t="shared" si="6"/>
        <v>0</v>
      </c>
      <c r="O25" s="1223">
        <f t="shared" si="6"/>
        <v>0</v>
      </c>
      <c r="P25" s="1223">
        <f t="shared" si="6"/>
        <v>0</v>
      </c>
      <c r="Q25" s="1223">
        <f t="shared" si="6"/>
        <v>0</v>
      </c>
      <c r="R25" s="1223">
        <f t="shared" si="6"/>
        <v>0</v>
      </c>
      <c r="S25" s="1224">
        <f t="shared" si="6"/>
        <v>0</v>
      </c>
      <c r="T25" s="237"/>
      <c r="U25" s="237"/>
      <c r="V25" s="237"/>
      <c r="W25" s="237"/>
      <c r="X25" s="237"/>
      <c r="Y25" s="237"/>
      <c r="Z25" s="237"/>
      <c r="AA25" s="237"/>
      <c r="AB25" s="237"/>
      <c r="AC25" s="237"/>
    </row>
    <row r="26" spans="1:29" ht="14.25" thickBot="1" x14ac:dyDescent="0.35">
      <c r="B26" s="1543"/>
      <c r="C26" s="1165"/>
      <c r="D26" s="1166"/>
      <c r="E26" s="1525"/>
      <c r="F26" s="1525"/>
      <c r="G26" s="1525"/>
      <c r="H26" s="1525"/>
      <c r="I26" s="1525"/>
      <c r="J26" s="1525"/>
      <c r="K26" s="1525"/>
      <c r="L26" s="1525"/>
      <c r="M26" s="1525"/>
      <c r="N26" s="1525"/>
      <c r="O26" s="1525"/>
      <c r="P26" s="1525"/>
      <c r="Q26" s="1525"/>
      <c r="R26" s="1525"/>
      <c r="S26" s="1525"/>
      <c r="T26" s="250"/>
      <c r="U26" s="250"/>
      <c r="V26" s="250"/>
      <c r="W26" s="250"/>
      <c r="X26" s="250"/>
      <c r="Y26" s="250"/>
      <c r="Z26" s="250"/>
      <c r="AA26" s="250"/>
      <c r="AB26" s="250"/>
      <c r="AC26" s="250"/>
    </row>
    <row r="27" spans="1:29" ht="12.75" customHeight="1" x14ac:dyDescent="0.3">
      <c r="B27" s="1203" t="str">
        <f>B19</f>
        <v>12.2.</v>
      </c>
      <c r="C27" s="1529">
        <f>C19</f>
        <v>0</v>
      </c>
      <c r="D27" s="1530"/>
      <c r="E27" s="2036">
        <f>S19+1</f>
        <v>2041</v>
      </c>
      <c r="F27" s="2016">
        <f t="shared" ref="F27:S27" si="7">E27+1</f>
        <v>2042</v>
      </c>
      <c r="G27" s="2016">
        <f t="shared" si="7"/>
        <v>2043</v>
      </c>
      <c r="H27" s="2016">
        <f t="shared" si="7"/>
        <v>2044</v>
      </c>
      <c r="I27" s="2016">
        <f t="shared" si="7"/>
        <v>2045</v>
      </c>
      <c r="J27" s="2016">
        <f t="shared" si="7"/>
        <v>2046</v>
      </c>
      <c r="K27" s="2016">
        <f t="shared" si="7"/>
        <v>2047</v>
      </c>
      <c r="L27" s="2016">
        <f t="shared" si="7"/>
        <v>2048</v>
      </c>
      <c r="M27" s="2016">
        <f t="shared" si="7"/>
        <v>2049</v>
      </c>
      <c r="N27" s="2016">
        <f t="shared" si="7"/>
        <v>2050</v>
      </c>
      <c r="O27" s="2016">
        <f t="shared" si="7"/>
        <v>2051</v>
      </c>
      <c r="P27" s="2016">
        <f t="shared" si="7"/>
        <v>2052</v>
      </c>
      <c r="Q27" s="2016">
        <f t="shared" si="7"/>
        <v>2053</v>
      </c>
      <c r="R27" s="2016">
        <f t="shared" si="7"/>
        <v>2054</v>
      </c>
      <c r="S27" s="2034">
        <f t="shared" si="7"/>
        <v>2055</v>
      </c>
      <c r="T27" s="247"/>
      <c r="U27" s="247"/>
      <c r="V27" s="247"/>
      <c r="W27" s="247"/>
      <c r="X27" s="247"/>
      <c r="Y27" s="247"/>
      <c r="Z27" s="247"/>
      <c r="AA27" s="247"/>
      <c r="AB27" s="247"/>
      <c r="AC27" s="247"/>
    </row>
    <row r="28" spans="1:29" ht="12.75" customHeight="1" thickBot="1" x14ac:dyDescent="0.35">
      <c r="A28" s="254"/>
      <c r="B28" s="1544" t="s">
        <v>5</v>
      </c>
      <c r="C28" s="1545" t="str">
        <f>C20</f>
        <v>Scénář s projektem</v>
      </c>
      <c r="D28" s="1546"/>
      <c r="E28" s="2113"/>
      <c r="F28" s="2109"/>
      <c r="G28" s="2109"/>
      <c r="H28" s="2109"/>
      <c r="I28" s="2109"/>
      <c r="J28" s="2109"/>
      <c r="K28" s="2109"/>
      <c r="L28" s="2109"/>
      <c r="M28" s="2109"/>
      <c r="N28" s="2109"/>
      <c r="O28" s="2109"/>
      <c r="P28" s="2109"/>
      <c r="Q28" s="2109"/>
      <c r="R28" s="2109"/>
      <c r="S28" s="2110"/>
      <c r="T28" s="247"/>
      <c r="U28" s="247"/>
      <c r="V28" s="247"/>
      <c r="W28" s="247"/>
      <c r="X28" s="247"/>
      <c r="Y28" s="247"/>
      <c r="Z28" s="247"/>
      <c r="AA28" s="247"/>
      <c r="AB28" s="247"/>
      <c r="AC28" s="247"/>
    </row>
    <row r="29" spans="1:29" ht="12.75" customHeight="1" x14ac:dyDescent="0.3">
      <c r="A29" s="254"/>
      <c r="B29" s="1526"/>
      <c r="C29" s="1547" t="str">
        <f>IF(C12="","",C12)</f>
        <v/>
      </c>
      <c r="D29" s="1548"/>
      <c r="E29" s="1549">
        <f>E12</f>
        <v>0</v>
      </c>
      <c r="F29" s="1550">
        <f t="shared" ref="F29:S30" si="8">F12</f>
        <v>0</v>
      </c>
      <c r="G29" s="1550">
        <f t="shared" si="8"/>
        <v>0</v>
      </c>
      <c r="H29" s="1550">
        <f t="shared" si="8"/>
        <v>0</v>
      </c>
      <c r="I29" s="1550">
        <f t="shared" si="8"/>
        <v>0</v>
      </c>
      <c r="J29" s="1550">
        <f t="shared" si="8"/>
        <v>0</v>
      </c>
      <c r="K29" s="1550">
        <f t="shared" si="8"/>
        <v>0</v>
      </c>
      <c r="L29" s="1550">
        <f t="shared" si="8"/>
        <v>0</v>
      </c>
      <c r="M29" s="1550">
        <f t="shared" si="8"/>
        <v>0</v>
      </c>
      <c r="N29" s="1550">
        <f t="shared" si="8"/>
        <v>0</v>
      </c>
      <c r="O29" s="1550">
        <f t="shared" si="8"/>
        <v>0</v>
      </c>
      <c r="P29" s="1550">
        <f t="shared" si="8"/>
        <v>0</v>
      </c>
      <c r="Q29" s="1550">
        <f t="shared" si="8"/>
        <v>0</v>
      </c>
      <c r="R29" s="1550">
        <f t="shared" si="8"/>
        <v>0</v>
      </c>
      <c r="S29" s="1551">
        <f t="shared" si="8"/>
        <v>0</v>
      </c>
      <c r="T29" s="237"/>
      <c r="U29" s="237"/>
      <c r="V29" s="237"/>
      <c r="W29" s="237"/>
      <c r="X29" s="237"/>
      <c r="Y29" s="237"/>
      <c r="Z29" s="237"/>
      <c r="AA29" s="237"/>
      <c r="AB29" s="237"/>
      <c r="AC29" s="237"/>
    </row>
    <row r="30" spans="1:29" ht="12.75" customHeight="1" x14ac:dyDescent="0.3">
      <c r="A30" s="254"/>
      <c r="B30" s="1518"/>
      <c r="C30" s="1531" t="str">
        <f>IF(C13="","",C13)</f>
        <v/>
      </c>
      <c r="D30" s="1552"/>
      <c r="E30" s="1553">
        <f>E13</f>
        <v>0</v>
      </c>
      <c r="F30" s="1554">
        <f t="shared" si="8"/>
        <v>0</v>
      </c>
      <c r="G30" s="1554">
        <f t="shared" si="8"/>
        <v>0</v>
      </c>
      <c r="H30" s="1554">
        <f t="shared" si="8"/>
        <v>0</v>
      </c>
      <c r="I30" s="1554">
        <f t="shared" si="8"/>
        <v>0</v>
      </c>
      <c r="J30" s="1554">
        <f t="shared" si="8"/>
        <v>0</v>
      </c>
      <c r="K30" s="1554">
        <f t="shared" si="8"/>
        <v>0</v>
      </c>
      <c r="L30" s="1554">
        <f t="shared" si="8"/>
        <v>0</v>
      </c>
      <c r="M30" s="1554">
        <f t="shared" si="8"/>
        <v>0</v>
      </c>
      <c r="N30" s="1554">
        <f t="shared" si="8"/>
        <v>0</v>
      </c>
      <c r="O30" s="1554">
        <f t="shared" si="8"/>
        <v>0</v>
      </c>
      <c r="P30" s="1554">
        <f t="shared" si="8"/>
        <v>0</v>
      </c>
      <c r="Q30" s="1554">
        <f t="shared" si="8"/>
        <v>0</v>
      </c>
      <c r="R30" s="1554">
        <f t="shared" si="8"/>
        <v>0</v>
      </c>
      <c r="S30" s="1555">
        <f t="shared" si="8"/>
        <v>0</v>
      </c>
      <c r="T30" s="237"/>
      <c r="U30" s="237"/>
      <c r="V30" s="237"/>
      <c r="W30" s="237"/>
      <c r="X30" s="237"/>
      <c r="Y30" s="237"/>
      <c r="Z30" s="237"/>
      <c r="AA30" s="237"/>
      <c r="AB30" s="237"/>
      <c r="AC30" s="237"/>
    </row>
    <row r="31" spans="1:29" ht="12.75" customHeight="1" x14ac:dyDescent="0.3">
      <c r="A31" s="254"/>
      <c r="B31" s="1518"/>
      <c r="C31" s="1531" t="str">
        <f>IF(C14="","",C14)</f>
        <v/>
      </c>
      <c r="D31" s="1552"/>
      <c r="E31" s="1553">
        <f t="shared" ref="E31:S32" si="9">E14</f>
        <v>0</v>
      </c>
      <c r="F31" s="1554">
        <f t="shared" si="9"/>
        <v>0</v>
      </c>
      <c r="G31" s="1554">
        <f t="shared" si="9"/>
        <v>0</v>
      </c>
      <c r="H31" s="1554">
        <f t="shared" si="9"/>
        <v>0</v>
      </c>
      <c r="I31" s="1554">
        <f t="shared" si="9"/>
        <v>0</v>
      </c>
      <c r="J31" s="1554">
        <f t="shared" si="9"/>
        <v>0</v>
      </c>
      <c r="K31" s="1554">
        <f t="shared" si="9"/>
        <v>0</v>
      </c>
      <c r="L31" s="1554">
        <f t="shared" si="9"/>
        <v>0</v>
      </c>
      <c r="M31" s="1554">
        <f t="shared" si="9"/>
        <v>0</v>
      </c>
      <c r="N31" s="1554">
        <f t="shared" si="9"/>
        <v>0</v>
      </c>
      <c r="O31" s="1554">
        <f t="shared" si="9"/>
        <v>0</v>
      </c>
      <c r="P31" s="1554">
        <f t="shared" si="9"/>
        <v>0</v>
      </c>
      <c r="Q31" s="1554">
        <f t="shared" si="9"/>
        <v>0</v>
      </c>
      <c r="R31" s="1554">
        <f t="shared" si="9"/>
        <v>0</v>
      </c>
      <c r="S31" s="1555">
        <f t="shared" si="9"/>
        <v>0</v>
      </c>
      <c r="T31" s="237"/>
      <c r="U31" s="237"/>
      <c r="V31" s="237"/>
      <c r="W31" s="237"/>
      <c r="X31" s="237"/>
      <c r="Y31" s="237"/>
      <c r="Z31" s="237"/>
      <c r="AA31" s="237"/>
      <c r="AB31" s="237"/>
      <c r="AC31" s="237"/>
    </row>
    <row r="32" spans="1:29" ht="12.75" customHeight="1" x14ac:dyDescent="0.3">
      <c r="A32" s="254"/>
      <c r="B32" s="1519"/>
      <c r="C32" s="1538" t="str">
        <f>IF(C15="","",C15)</f>
        <v/>
      </c>
      <c r="D32" s="1556"/>
      <c r="E32" s="1557">
        <f t="shared" si="9"/>
        <v>0</v>
      </c>
      <c r="F32" s="1558">
        <f t="shared" si="9"/>
        <v>0</v>
      </c>
      <c r="G32" s="1558">
        <f t="shared" si="9"/>
        <v>0</v>
      </c>
      <c r="H32" s="1558">
        <f t="shared" si="9"/>
        <v>0</v>
      </c>
      <c r="I32" s="1558">
        <f t="shared" si="9"/>
        <v>0</v>
      </c>
      <c r="J32" s="1558">
        <f t="shared" si="9"/>
        <v>0</v>
      </c>
      <c r="K32" s="1558">
        <f t="shared" si="9"/>
        <v>0</v>
      </c>
      <c r="L32" s="1558">
        <f t="shared" si="9"/>
        <v>0</v>
      </c>
      <c r="M32" s="1558">
        <f t="shared" si="9"/>
        <v>0</v>
      </c>
      <c r="N32" s="1558">
        <f t="shared" si="9"/>
        <v>0</v>
      </c>
      <c r="O32" s="1558">
        <f t="shared" si="9"/>
        <v>0</v>
      </c>
      <c r="P32" s="1558">
        <f t="shared" si="9"/>
        <v>0</v>
      </c>
      <c r="Q32" s="1558">
        <f t="shared" si="9"/>
        <v>0</v>
      </c>
      <c r="R32" s="1558">
        <f t="shared" si="9"/>
        <v>0</v>
      </c>
      <c r="S32" s="1559">
        <f t="shared" si="9"/>
        <v>0</v>
      </c>
      <c r="T32" s="237"/>
      <c r="U32" s="237"/>
      <c r="V32" s="237"/>
      <c r="W32" s="237"/>
      <c r="X32" s="237"/>
      <c r="Y32" s="237"/>
      <c r="Z32" s="237"/>
      <c r="AA32" s="237"/>
      <c r="AB32" s="237"/>
      <c r="AC32" s="237"/>
    </row>
    <row r="33" spans="2:29" ht="15" thickBot="1" x14ac:dyDescent="0.35">
      <c r="B33" s="1542"/>
      <c r="C33" s="1220" t="str">
        <f>C16</f>
        <v>Celkové ostatní přínosy (CZK)</v>
      </c>
      <c r="D33" s="1560"/>
      <c r="E33" s="1222">
        <f t="shared" ref="E33:S33" si="10">SUM(E29:E32)</f>
        <v>0</v>
      </c>
      <c r="F33" s="1223">
        <f t="shared" si="10"/>
        <v>0</v>
      </c>
      <c r="G33" s="1223">
        <f t="shared" si="10"/>
        <v>0</v>
      </c>
      <c r="H33" s="1223">
        <f t="shared" si="10"/>
        <v>0</v>
      </c>
      <c r="I33" s="1223">
        <f t="shared" si="10"/>
        <v>0</v>
      </c>
      <c r="J33" s="1223">
        <f t="shared" si="10"/>
        <v>0</v>
      </c>
      <c r="K33" s="1223">
        <f t="shared" si="10"/>
        <v>0</v>
      </c>
      <c r="L33" s="1223">
        <f t="shared" si="10"/>
        <v>0</v>
      </c>
      <c r="M33" s="1223">
        <f t="shared" si="10"/>
        <v>0</v>
      </c>
      <c r="N33" s="1223">
        <f t="shared" si="10"/>
        <v>0</v>
      </c>
      <c r="O33" s="1223">
        <f t="shared" si="10"/>
        <v>0</v>
      </c>
      <c r="P33" s="1223">
        <f t="shared" si="10"/>
        <v>0</v>
      </c>
      <c r="Q33" s="1223">
        <f t="shared" si="10"/>
        <v>0</v>
      </c>
      <c r="R33" s="1223">
        <f t="shared" si="10"/>
        <v>0</v>
      </c>
      <c r="S33" s="1224">
        <f t="shared" si="10"/>
        <v>0</v>
      </c>
      <c r="T33" s="237"/>
      <c r="U33" s="237"/>
      <c r="V33" s="237"/>
      <c r="W33" s="237"/>
      <c r="X33" s="237"/>
      <c r="Y33" s="237"/>
      <c r="Z33" s="237"/>
      <c r="AA33" s="237"/>
      <c r="AB33" s="237"/>
      <c r="AC33" s="237"/>
    </row>
    <row r="34" spans="2:29" ht="14.25" x14ac:dyDescent="0.3">
      <c r="B34" s="1290"/>
      <c r="C34" s="610"/>
      <c r="D34" s="1554"/>
      <c r="E34" s="1561"/>
      <c r="F34" s="1561"/>
      <c r="G34" s="1561"/>
      <c r="H34" s="1561"/>
      <c r="I34" s="1561"/>
      <c r="J34" s="1561"/>
      <c r="K34" s="1561"/>
      <c r="L34" s="1561"/>
      <c r="M34" s="1561"/>
      <c r="N34" s="1561"/>
      <c r="O34" s="1561"/>
      <c r="P34" s="1561"/>
      <c r="Q34" s="1561"/>
      <c r="R34" s="1561"/>
      <c r="S34" s="1561"/>
    </row>
    <row r="35" spans="2:29" ht="14.25" thickBot="1" x14ac:dyDescent="0.35">
      <c r="B35" s="1562"/>
      <c r="C35" s="1165"/>
      <c r="D35" s="1165"/>
      <c r="E35" s="1165"/>
      <c r="F35" s="1165"/>
      <c r="G35" s="1165"/>
      <c r="H35" s="1165"/>
      <c r="I35" s="1165"/>
      <c r="J35" s="1165"/>
      <c r="K35" s="1165"/>
      <c r="L35" s="1165"/>
      <c r="M35" s="1165"/>
      <c r="N35" s="1165"/>
      <c r="O35" s="1165"/>
      <c r="P35" s="1165"/>
      <c r="Q35" s="1165"/>
      <c r="R35" s="1165"/>
      <c r="S35" s="1165"/>
    </row>
    <row r="36" spans="2:29" ht="15" thickBot="1" x14ac:dyDescent="0.35">
      <c r="B36" s="1227"/>
      <c r="C36" s="1563" t="str">
        <f>IF('0 Úvod'!$M$10="English",Slovnik!$D$429,Slovnik!$C$429)</f>
        <v>Výnosy (CZK)</v>
      </c>
      <c r="D36" s="1564">
        <f>D25</f>
        <v>0</v>
      </c>
      <c r="E36" s="1165"/>
      <c r="F36" s="1165"/>
      <c r="G36" s="1165"/>
      <c r="H36" s="1165"/>
      <c r="I36" s="1165"/>
      <c r="J36" s="1165"/>
      <c r="K36" s="1165"/>
      <c r="L36" s="1165"/>
      <c r="M36" s="1165"/>
      <c r="N36" s="1165"/>
      <c r="O36" s="1165"/>
      <c r="P36" s="1165"/>
      <c r="Q36" s="1165"/>
      <c r="R36" s="1165"/>
      <c r="S36" s="1165"/>
    </row>
    <row r="37" spans="2:29" x14ac:dyDescent="0.3">
      <c r="B37" s="1165"/>
      <c r="C37" s="1165"/>
      <c r="D37" s="1165"/>
      <c r="E37" s="1165"/>
      <c r="F37" s="1165"/>
      <c r="G37" s="1165"/>
      <c r="H37" s="1165"/>
      <c r="I37" s="1165"/>
      <c r="J37" s="1165"/>
      <c r="K37" s="1165"/>
      <c r="L37" s="1165"/>
      <c r="M37" s="1165"/>
      <c r="N37" s="1165"/>
      <c r="O37" s="1165"/>
      <c r="P37" s="1165"/>
      <c r="Q37" s="1165"/>
      <c r="R37" s="1165"/>
      <c r="S37" s="1165"/>
    </row>
    <row r="38" spans="2:29" ht="14.25" thickBot="1" x14ac:dyDescent="0.35">
      <c r="B38" s="1165"/>
      <c r="C38" s="1165"/>
      <c r="D38" s="1165"/>
      <c r="E38" s="1165"/>
      <c r="F38" s="1165"/>
      <c r="G38" s="1165"/>
      <c r="H38" s="1165"/>
      <c r="I38" s="1165"/>
      <c r="J38" s="1165"/>
      <c r="K38" s="1165"/>
      <c r="L38" s="1165"/>
      <c r="M38" s="1165"/>
      <c r="N38" s="1165"/>
      <c r="O38" s="1165"/>
      <c r="P38" s="1165"/>
      <c r="Q38" s="1165"/>
      <c r="R38" s="1165"/>
      <c r="S38" s="1165"/>
    </row>
    <row r="39" spans="2:29" ht="14.25" customHeight="1" x14ac:dyDescent="0.3">
      <c r="B39" s="2001" t="str">
        <f>IF('0 Úvod'!$M$10="English",Slovnik!$D$430,Slovnik!$C$430)</f>
        <v>Komentáře</v>
      </c>
      <c r="C39" s="2002"/>
      <c r="D39" s="2002"/>
      <c r="E39" s="2002"/>
      <c r="F39" s="2002"/>
      <c r="G39" s="2002"/>
      <c r="H39" s="2002"/>
      <c r="I39" s="2002"/>
      <c r="J39" s="2002"/>
      <c r="K39" s="2002"/>
      <c r="L39" s="2002"/>
      <c r="M39" s="2002"/>
      <c r="N39" s="2002"/>
      <c r="O39" s="2002"/>
      <c r="P39" s="2002"/>
      <c r="Q39" s="2002"/>
      <c r="R39" s="2002"/>
      <c r="S39" s="2003"/>
    </row>
    <row r="40" spans="2:29" ht="15" customHeight="1" thickBot="1" x14ac:dyDescent="0.35">
      <c r="B40" s="2004"/>
      <c r="C40" s="2005"/>
      <c r="D40" s="2005"/>
      <c r="E40" s="2005"/>
      <c r="F40" s="2005"/>
      <c r="G40" s="2005"/>
      <c r="H40" s="2005"/>
      <c r="I40" s="2005"/>
      <c r="J40" s="2005"/>
      <c r="K40" s="2005"/>
      <c r="L40" s="2005"/>
      <c r="M40" s="2005"/>
      <c r="N40" s="2005"/>
      <c r="O40" s="2005"/>
      <c r="P40" s="2005"/>
      <c r="Q40" s="2005"/>
      <c r="R40" s="2005"/>
      <c r="S40" s="2006"/>
    </row>
    <row r="41" spans="2:29" ht="19.5" customHeight="1" thickBot="1" x14ac:dyDescent="0.35">
      <c r="B41" s="258" t="s">
        <v>1532</v>
      </c>
      <c r="C41" s="259"/>
      <c r="D41" s="260"/>
      <c r="E41" s="260"/>
      <c r="F41" s="260"/>
      <c r="G41" s="261"/>
      <c r="H41" s="260"/>
      <c r="I41" s="260"/>
      <c r="J41" s="260"/>
      <c r="K41" s="260"/>
      <c r="L41" s="260"/>
      <c r="M41" s="260"/>
      <c r="N41" s="260"/>
      <c r="O41" s="260"/>
      <c r="P41" s="260"/>
      <c r="Q41" s="260"/>
      <c r="R41" s="260"/>
      <c r="S41" s="262"/>
    </row>
    <row r="42" spans="2:29" ht="14.25" x14ac:dyDescent="0.3">
      <c r="B42" s="501"/>
      <c r="C42" s="501"/>
      <c r="D42" s="270"/>
      <c r="E42" s="270"/>
      <c r="F42" s="270"/>
      <c r="G42" s="502"/>
      <c r="H42" s="270"/>
      <c r="I42" s="270"/>
      <c r="J42" s="270"/>
      <c r="K42" s="270"/>
      <c r="L42" s="270"/>
      <c r="M42" s="270"/>
      <c r="N42" s="270"/>
      <c r="O42" s="270"/>
      <c r="P42" s="270"/>
    </row>
  </sheetData>
  <sheetProtection algorithmName="SHA-512" hashValue="/J4g1PjJxAqrgnbR7cG12NEIdXW8cwDKV5Nsl873SlqX7CNp9KX49B31dDNDRR2vinUxapIQOicFN953pEhsBQ==" saltValue="ZbcIH4Nl2//wylkUld6Msw==" spinCount="100000" sheet="1" objects="1" scenarios="1"/>
  <mergeCells count="61">
    <mergeCell ref="J2:J3"/>
    <mergeCell ref="E2:E3"/>
    <mergeCell ref="F2:F3"/>
    <mergeCell ref="G2:G3"/>
    <mergeCell ref="H2:H3"/>
    <mergeCell ref="I2:I3"/>
    <mergeCell ref="Q2:Q3"/>
    <mergeCell ref="R2:R3"/>
    <mergeCell ref="S2:S3"/>
    <mergeCell ref="E10:E11"/>
    <mergeCell ref="F10:F11"/>
    <mergeCell ref="G10:G11"/>
    <mergeCell ref="H10:H11"/>
    <mergeCell ref="I10:I11"/>
    <mergeCell ref="J10:J11"/>
    <mergeCell ref="K10:K11"/>
    <mergeCell ref="K2:K3"/>
    <mergeCell ref="L2:L3"/>
    <mergeCell ref="M2:M3"/>
    <mergeCell ref="N2:N3"/>
    <mergeCell ref="O2:O3"/>
    <mergeCell ref="P2:P3"/>
    <mergeCell ref="R10:R11"/>
    <mergeCell ref="S10:S11"/>
    <mergeCell ref="E19:E20"/>
    <mergeCell ref="F19:F20"/>
    <mergeCell ref="G19:G20"/>
    <mergeCell ref="H19:H20"/>
    <mergeCell ref="I19:I20"/>
    <mergeCell ref="J19:J20"/>
    <mergeCell ref="K19:K20"/>
    <mergeCell ref="L19:L20"/>
    <mergeCell ref="L10:L11"/>
    <mergeCell ref="M10:M11"/>
    <mergeCell ref="N10:N11"/>
    <mergeCell ref="O10:O11"/>
    <mergeCell ref="P10:P11"/>
    <mergeCell ref="Q10:Q11"/>
    <mergeCell ref="S19:S20"/>
    <mergeCell ref="E27:E28"/>
    <mergeCell ref="F27:F28"/>
    <mergeCell ref="G27:G28"/>
    <mergeCell ref="H27:H28"/>
    <mergeCell ref="I27:I28"/>
    <mergeCell ref="J27:J28"/>
    <mergeCell ref="K27:K28"/>
    <mergeCell ref="L27:L28"/>
    <mergeCell ref="M27:M28"/>
    <mergeCell ref="M19:M20"/>
    <mergeCell ref="N19:N20"/>
    <mergeCell ref="O19:O20"/>
    <mergeCell ref="P19:P20"/>
    <mergeCell ref="Q19:Q20"/>
    <mergeCell ref="R19:R20"/>
    <mergeCell ref="N27:N28"/>
    <mergeCell ref="O27:O28"/>
    <mergeCell ref="P27:P28"/>
    <mergeCell ref="Q27:Q28"/>
    <mergeCell ref="B39:S40"/>
    <mergeCell ref="R27:R28"/>
    <mergeCell ref="S27:S28"/>
  </mergeCells>
  <conditionalFormatting sqref="E34">
    <cfRule type="cellIs" dxfId="3" priority="2" stopIfTrue="1" operator="lessThan">
      <formula>0</formula>
    </cfRule>
  </conditionalFormatting>
  <conditionalFormatting sqref="F34:S34">
    <cfRule type="cellIs" dxfId="2" priority="1" stopIfTrue="1" operator="lessThan">
      <formula>0</formula>
    </cfRule>
  </conditionalFormatting>
  <pageMargins left="0.19685039370078741" right="0.15748031496062992" top="0.78740157480314965" bottom="0.78740157480314965" header="0.39370078740157483" footer="0.39370078740157483"/>
  <pageSetup paperSize="9" scale="64" fitToHeight="0" orientation="landscape" r:id="rId1"/>
  <headerFooter alignWithMargins="0">
    <oddFooter>&amp;L&amp;A&amp;C&amp;D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List3"/>
  <dimension ref="B1:AQ1464"/>
  <sheetViews>
    <sheetView defaultGridColor="0" topLeftCell="A91" colorId="23" zoomScale="80" zoomScaleNormal="80" workbookViewId="0">
      <selection activeCell="F135" sqref="F135"/>
    </sheetView>
  </sheetViews>
  <sheetFormatPr defaultColWidth="9.140625" defaultRowHeight="13.5" x14ac:dyDescent="0.25"/>
  <cols>
    <col min="1" max="1" width="2.7109375" style="23" customWidth="1"/>
    <col min="2" max="2" width="11.28515625" style="23" customWidth="1"/>
    <col min="3" max="3" width="47.28515625" style="23" bestFit="1" customWidth="1"/>
    <col min="4" max="4" width="27.140625" style="23" customWidth="1"/>
    <col min="5" max="5" width="15" style="23" bestFit="1" customWidth="1"/>
    <col min="6" max="6" width="15.28515625" style="23" bestFit="1" customWidth="1"/>
    <col min="7" max="7" width="13.140625" style="23" bestFit="1" customWidth="1"/>
    <col min="8" max="8" width="20.7109375" style="23" bestFit="1" customWidth="1"/>
    <col min="9" max="9" width="10.5703125" style="23" bestFit="1" customWidth="1"/>
    <col min="10" max="10" width="12.7109375" style="23" bestFit="1" customWidth="1"/>
    <col min="11" max="11" width="10.85546875" style="23" bestFit="1" customWidth="1"/>
    <col min="12" max="12" width="9.140625" style="23"/>
    <col min="13" max="43" width="9.140625" style="18"/>
    <col min="44" max="16384" width="9.140625" style="23"/>
  </cols>
  <sheetData>
    <row r="1" spans="2:12" ht="13.5" customHeight="1" thickBot="1" x14ac:dyDescent="0.3"/>
    <row r="2" spans="2:12" ht="13.5" customHeight="1" thickBot="1" x14ac:dyDescent="0.3">
      <c r="B2" s="2202" t="s">
        <v>56</v>
      </c>
      <c r="C2" s="2197" t="str">
        <f>IF('0 Úvod'!$M$10="English",Slovnik!$D$451,Slovnik!$C$451)</f>
        <v>Konverzní faktor - INVESTIČNÍ NÁKLADY</v>
      </c>
      <c r="D2" s="2194" t="str">
        <f>IF('0 Úvod'!$M$10="English",Slovnik!$D$452,Slovnik!$C$452)</f>
        <v>Náklady (CZK)</v>
      </c>
      <c r="E2" s="2191" t="str">
        <f>IF('0 Úvod'!$M$10="English",Slovnik!$D$453,Slovnik!$C$453)</f>
        <v>Zastoupení složky pro konverzní faktor [%]</v>
      </c>
      <c r="F2" s="2192"/>
      <c r="G2" s="2192"/>
      <c r="H2" s="2192"/>
      <c r="I2" s="2192"/>
      <c r="J2" s="2192"/>
      <c r="K2" s="2193"/>
      <c r="L2" s="2181" t="str">
        <f>IF('0 Úvod'!$M$10="English",Slovnik!$D$458,Slovnik!$C$458)</f>
        <v>KF (bez ziskové marže)</v>
      </c>
    </row>
    <row r="3" spans="2:12" ht="13.5" customHeight="1" x14ac:dyDescent="0.25">
      <c r="B3" s="2203"/>
      <c r="C3" s="2198"/>
      <c r="D3" s="2195"/>
      <c r="E3" s="2200" t="str">
        <f>IF('0 Úvod'!$M$10="English",Slovnik!$D$454,Slovnik!$C$454)</f>
        <v>PRÁCE</v>
      </c>
      <c r="F3" s="2201"/>
      <c r="G3" s="2201" t="str">
        <f>IF('0 Úvod'!$M$10="English",Slovnik!$D$455,Slovnik!$C$455)</f>
        <v>MATERIÁL</v>
      </c>
      <c r="H3" s="2201"/>
      <c r="I3" s="2201"/>
      <c r="J3" s="309" t="str">
        <f>IF('0 Úvod'!$M$10="English",Slovnik!$D$456,Slovnik!$C$456)</f>
        <v>ENERGIE + PH</v>
      </c>
      <c r="K3" s="310" t="str">
        <f>IF('0 Úvod'!$M$10="English",Slovnik!$D$457,Slovnik!$C$457)</f>
        <v>POZEMKY</v>
      </c>
      <c r="L3" s="2182"/>
    </row>
    <row r="4" spans="2:12" ht="13.5" customHeight="1" thickBot="1" x14ac:dyDescent="0.3">
      <c r="B4" s="2204"/>
      <c r="C4" s="2199"/>
      <c r="D4" s="2196"/>
      <c r="E4" s="311" t="str">
        <f>IF('0 Úvod'!$M$10="English",Slovnik!$D$459,Slovnik!$C$459)</f>
        <v>kvalifikovaná</v>
      </c>
      <c r="F4" s="312" t="str">
        <f>IF('0 Úvod'!$M$10="English",Slovnik!$D$460,Slovnik!$C$460)</f>
        <v>nekvalifikovaná</v>
      </c>
      <c r="G4" s="312" t="str">
        <f>IF('0 Úvod'!$M$10="English",Slovnik!$D$461,Slovnik!$C$461)</f>
        <v>IT (SW, HW)</v>
      </c>
      <c r="H4" s="312" t="str">
        <f>IF('0 Úvod'!$M$10="English",Slovnik!$D$462,Slovnik!$C$462)</f>
        <v>sypké hmoty, beton…</v>
      </c>
      <c r="I4" s="393" t="str">
        <f>IF('0 Úvod'!$M$10="English",Slovnik!$D$463,Slovnik!$C$463)</f>
        <v>konstrukce</v>
      </c>
      <c r="J4" s="312"/>
      <c r="K4" s="313"/>
      <c r="L4" s="2183"/>
    </row>
    <row r="5" spans="2:12" ht="13.5" customHeight="1" thickBot="1" x14ac:dyDescent="0.3">
      <c r="B5" s="2184" t="str">
        <f>IF('0 Úvod'!$M$10="English",Slovnik!$D$464,Slovnik!$C$464)</f>
        <v>ŽELEZNIČNÍ INFRASTRUKTURA</v>
      </c>
      <c r="C5" s="2185"/>
      <c r="D5" s="2185"/>
      <c r="E5" s="2185"/>
      <c r="F5" s="2185"/>
      <c r="G5" s="2185"/>
      <c r="H5" s="2185"/>
      <c r="I5" s="2185"/>
      <c r="J5" s="2185"/>
      <c r="K5" s="2185"/>
      <c r="L5" s="2186"/>
    </row>
    <row r="6" spans="2:12" ht="13.5" customHeight="1" x14ac:dyDescent="0.3">
      <c r="B6" s="2205" t="str">
        <f>IF('0 Úvod'!$M$10="English",Slovnik!$D$465,Slovnik!$C$465)</f>
        <v>ZÁKLADNÍ ROZPOČTOVÉ NÁKLADY</v>
      </c>
      <c r="C6" s="314" t="str">
        <f>IF('0 Úvod'!$M$10="English",Slovnik!D467,Slovnik!C467)</f>
        <v>Zabezpečovací zařízení</v>
      </c>
      <c r="D6" s="405"/>
      <c r="E6" s="402">
        <v>15</v>
      </c>
      <c r="F6" s="317">
        <v>10</v>
      </c>
      <c r="G6" s="317">
        <v>60</v>
      </c>
      <c r="H6" s="317"/>
      <c r="I6" s="317">
        <v>10</v>
      </c>
      <c r="J6" s="317">
        <v>5</v>
      </c>
      <c r="K6" s="318"/>
      <c r="L6" s="329">
        <f t="shared" ref="L6:L22" si="0">E6/100*$E$115+F6/100*$E$116+G6/100*$E$117+H6/100*$E$118+I6/100*$E$119+J6/100*$E$120+K6/100*$E$121</f>
        <v>0.87860000000000005</v>
      </c>
    </row>
    <row r="7" spans="2:12" ht="13.5" customHeight="1" x14ac:dyDescent="0.3">
      <c r="B7" s="2205"/>
      <c r="C7" s="314" t="str">
        <f>IF('0 Úvod'!$M$10="English",Slovnik!D468,Slovnik!C468)</f>
        <v>Sdělovací zařízení</v>
      </c>
      <c r="D7" s="406"/>
      <c r="E7" s="402">
        <v>15</v>
      </c>
      <c r="F7" s="317">
        <v>10</v>
      </c>
      <c r="G7" s="317">
        <v>60</v>
      </c>
      <c r="H7" s="317"/>
      <c r="I7" s="317">
        <v>10</v>
      </c>
      <c r="J7" s="317">
        <v>5</v>
      </c>
      <c r="K7" s="318"/>
      <c r="L7" s="330">
        <f t="shared" si="0"/>
        <v>0.87860000000000005</v>
      </c>
    </row>
    <row r="8" spans="2:12" ht="13.5" customHeight="1" x14ac:dyDescent="0.3">
      <c r="B8" s="2205"/>
      <c r="C8" s="314" t="str">
        <f>IF('0 Úvod'!$M$10="English",Slovnik!D469,Slovnik!C469)</f>
        <v>Silnoproudé rozvody a zařízení</v>
      </c>
      <c r="D8" s="406"/>
      <c r="E8" s="402">
        <v>15</v>
      </c>
      <c r="F8" s="317">
        <v>10</v>
      </c>
      <c r="G8" s="317">
        <v>30</v>
      </c>
      <c r="H8" s="317"/>
      <c r="I8" s="317">
        <v>40</v>
      </c>
      <c r="J8" s="317">
        <v>5</v>
      </c>
      <c r="K8" s="318"/>
      <c r="L8" s="330">
        <f t="shared" si="0"/>
        <v>0.87890000000000013</v>
      </c>
    </row>
    <row r="9" spans="2:12" ht="13.5" customHeight="1" x14ac:dyDescent="0.3">
      <c r="B9" s="2205"/>
      <c r="C9" s="314" t="str">
        <f>IF('0 Úvod'!$M$10="English",Slovnik!D470,Slovnik!C470)</f>
        <v>Železniční svršek</v>
      </c>
      <c r="D9" s="406"/>
      <c r="E9" s="402">
        <v>10</v>
      </c>
      <c r="F9" s="317">
        <v>15</v>
      </c>
      <c r="G9" s="317"/>
      <c r="H9" s="317">
        <v>45</v>
      </c>
      <c r="I9" s="317">
        <v>25</v>
      </c>
      <c r="J9" s="317">
        <v>5</v>
      </c>
      <c r="K9" s="318"/>
      <c r="L9" s="330">
        <f t="shared" si="0"/>
        <v>0.87675000000000003</v>
      </c>
    </row>
    <row r="10" spans="2:12" ht="13.5" customHeight="1" x14ac:dyDescent="0.3">
      <c r="B10" s="2205"/>
      <c r="C10" s="314" t="str">
        <f>IF('0 Úvod'!$M$10="English",Slovnik!D471,Slovnik!C471)</f>
        <v>Železniční spodek</v>
      </c>
      <c r="D10" s="406"/>
      <c r="E10" s="402">
        <v>10</v>
      </c>
      <c r="F10" s="317">
        <v>20</v>
      </c>
      <c r="G10" s="317"/>
      <c r="H10" s="317">
        <v>50</v>
      </c>
      <c r="I10" s="317">
        <v>15</v>
      </c>
      <c r="J10" s="317">
        <v>5</v>
      </c>
      <c r="K10" s="318"/>
      <c r="L10" s="330">
        <f t="shared" si="0"/>
        <v>0.85680000000000001</v>
      </c>
    </row>
    <row r="11" spans="2:12" ht="13.5" customHeight="1" x14ac:dyDescent="0.3">
      <c r="B11" s="2205"/>
      <c r="C11" s="314" t="str">
        <f>IF('0 Úvod'!$M$10="English",Slovnik!D472,Slovnik!C472)</f>
        <v>Pevná jízdní dráha</v>
      </c>
      <c r="D11" s="406"/>
      <c r="E11" s="402">
        <v>15</v>
      </c>
      <c r="F11" s="317">
        <v>10</v>
      </c>
      <c r="G11" s="317">
        <v>5</v>
      </c>
      <c r="H11" s="317">
        <v>50</v>
      </c>
      <c r="I11" s="317">
        <v>15</v>
      </c>
      <c r="J11" s="317">
        <v>5</v>
      </c>
      <c r="K11" s="318"/>
      <c r="L11" s="330">
        <f t="shared" si="0"/>
        <v>0.87814999999999999</v>
      </c>
    </row>
    <row r="12" spans="2:12" ht="13.5" customHeight="1" x14ac:dyDescent="0.3">
      <c r="B12" s="2205"/>
      <c r="C12" s="314" t="str">
        <f>IF('0 Úvod'!$M$10="English",Slovnik!D473,Slovnik!C473)</f>
        <v>Mosty, propustky, zdi</v>
      </c>
      <c r="D12" s="406"/>
      <c r="E12" s="402">
        <v>10</v>
      </c>
      <c r="F12" s="317">
        <v>15</v>
      </c>
      <c r="G12" s="317"/>
      <c r="H12" s="317">
        <v>45</v>
      </c>
      <c r="I12" s="317">
        <v>25</v>
      </c>
      <c r="J12" s="317">
        <v>5</v>
      </c>
      <c r="K12" s="318"/>
      <c r="L12" s="330">
        <f t="shared" si="0"/>
        <v>0.87675000000000003</v>
      </c>
    </row>
    <row r="13" spans="2:12" ht="13.5" customHeight="1" x14ac:dyDescent="0.3">
      <c r="B13" s="2205"/>
      <c r="C13" s="314" t="str">
        <f>IF('0 Úvod'!$M$10="English",Slovnik!D474,Slovnik!C474)</f>
        <v>Tunely</v>
      </c>
      <c r="D13" s="406"/>
      <c r="E13" s="402">
        <v>15</v>
      </c>
      <c r="F13" s="317">
        <v>10</v>
      </c>
      <c r="G13" s="317"/>
      <c r="H13" s="317">
        <v>45</v>
      </c>
      <c r="I13" s="317">
        <v>25</v>
      </c>
      <c r="J13" s="317">
        <v>5</v>
      </c>
      <c r="K13" s="318"/>
      <c r="L13" s="330">
        <f t="shared" si="0"/>
        <v>0.87829999999999997</v>
      </c>
    </row>
    <row r="14" spans="2:12" ht="13.5" customHeight="1" x14ac:dyDescent="0.3">
      <c r="B14" s="2205"/>
      <c r="C14" s="314" t="str">
        <f>IF('0 Úvod'!$M$10="English",Slovnik!D475,Slovnik!C475)</f>
        <v>Komunikace a zpevněné plochy</v>
      </c>
      <c r="D14" s="406"/>
      <c r="E14" s="402">
        <v>10</v>
      </c>
      <c r="F14" s="317">
        <v>15</v>
      </c>
      <c r="G14" s="317"/>
      <c r="H14" s="317">
        <v>40</v>
      </c>
      <c r="I14" s="317">
        <v>30</v>
      </c>
      <c r="J14" s="317">
        <v>5</v>
      </c>
      <c r="K14" s="318"/>
      <c r="L14" s="330">
        <f t="shared" si="0"/>
        <v>0.87685000000000002</v>
      </c>
    </row>
    <row r="15" spans="2:12" ht="13.5" customHeight="1" x14ac:dyDescent="0.3">
      <c r="B15" s="2205"/>
      <c r="C15" s="314" t="str">
        <f>IF('0 Úvod'!$M$10="English",Slovnik!D476,Slovnik!C476)</f>
        <v>Trakce</v>
      </c>
      <c r="D15" s="406"/>
      <c r="E15" s="402">
        <v>10</v>
      </c>
      <c r="F15" s="317">
        <v>15</v>
      </c>
      <c r="G15" s="317">
        <v>5</v>
      </c>
      <c r="H15" s="317">
        <v>10</v>
      </c>
      <c r="I15" s="317">
        <v>55.000000000000007</v>
      </c>
      <c r="J15" s="317">
        <v>5</v>
      </c>
      <c r="K15" s="318"/>
      <c r="L15" s="330">
        <f t="shared" si="0"/>
        <v>0.87740000000000007</v>
      </c>
    </row>
    <row r="16" spans="2:12" ht="13.5" customHeight="1" x14ac:dyDescent="0.3">
      <c r="B16" s="2205"/>
      <c r="C16" s="314" t="str">
        <f>IF('0 Úvod'!$M$10="English",Slovnik!D477,Slovnik!C477)</f>
        <v>Inženýrské sítě (trubní vedení, kabelovody)</v>
      </c>
      <c r="D16" s="406"/>
      <c r="E16" s="402">
        <v>5</v>
      </c>
      <c r="F16" s="317">
        <v>20</v>
      </c>
      <c r="G16" s="317">
        <v>5</v>
      </c>
      <c r="H16" s="317">
        <v>55.000000000000007</v>
      </c>
      <c r="I16" s="317">
        <v>10</v>
      </c>
      <c r="J16" s="317">
        <v>5</v>
      </c>
      <c r="K16" s="318"/>
      <c r="L16" s="330">
        <f t="shared" si="0"/>
        <v>0.87495000000000001</v>
      </c>
    </row>
    <row r="17" spans="2:12" ht="13.5" customHeight="1" x14ac:dyDescent="0.3">
      <c r="B17" s="2205"/>
      <c r="C17" s="314" t="str">
        <f>IF('0 Úvod'!$M$10="English",Slovnik!D478,Slovnik!C478)</f>
        <v>Pozemní stavby, nástupiště a přístřešky</v>
      </c>
      <c r="D17" s="406"/>
      <c r="E17" s="402">
        <v>10</v>
      </c>
      <c r="F17" s="317">
        <v>15</v>
      </c>
      <c r="G17" s="317">
        <v>5</v>
      </c>
      <c r="H17" s="317">
        <v>30</v>
      </c>
      <c r="I17" s="317">
        <v>35</v>
      </c>
      <c r="J17" s="317">
        <v>5</v>
      </c>
      <c r="K17" s="318"/>
      <c r="L17" s="330">
        <f t="shared" si="0"/>
        <v>0.877</v>
      </c>
    </row>
    <row r="18" spans="2:12" ht="13.5" customHeight="1" x14ac:dyDescent="0.3">
      <c r="B18" s="2205"/>
      <c r="C18" s="314" t="str">
        <f>IF('0 Úvod'!$M$10="English",Slovnik!D479,Slovnik!C479)</f>
        <v>Objekty ochrany životního prostředí</v>
      </c>
      <c r="D18" s="406"/>
      <c r="E18" s="403">
        <v>10</v>
      </c>
      <c r="F18" s="319">
        <v>15</v>
      </c>
      <c r="G18" s="319"/>
      <c r="H18" s="319">
        <v>35</v>
      </c>
      <c r="I18" s="319">
        <v>35</v>
      </c>
      <c r="J18" s="319">
        <v>5</v>
      </c>
      <c r="K18" s="320"/>
      <c r="L18" s="330">
        <f t="shared" si="0"/>
        <v>0.87695000000000001</v>
      </c>
    </row>
    <row r="19" spans="2:12" ht="13.5" customHeight="1" x14ac:dyDescent="0.3">
      <c r="B19" s="2189" t="str">
        <f>IF('0 Úvod'!$M$10="English",Slovnik!$D$466,Slovnik!$C$466)</f>
        <v>VEDLEJŠÍ ROZP. NÁKLADY</v>
      </c>
      <c r="C19" s="315" t="str">
        <f>IF('0 Úvod'!$M$10="English",Slovnik!D480,Slovnik!C480)</f>
        <v>Přípravná a projektová dokumentace, průzkumy</v>
      </c>
      <c r="D19" s="407"/>
      <c r="E19" s="402">
        <v>85</v>
      </c>
      <c r="F19" s="317">
        <v>5</v>
      </c>
      <c r="G19" s="317">
        <v>5</v>
      </c>
      <c r="H19" s="317"/>
      <c r="I19" s="317"/>
      <c r="J19" s="317">
        <v>5</v>
      </c>
      <c r="K19" s="318"/>
      <c r="L19" s="410">
        <f t="shared" si="0"/>
        <v>0.64280000000000004</v>
      </c>
    </row>
    <row r="20" spans="2:12" ht="13.5" customHeight="1" x14ac:dyDescent="0.3">
      <c r="B20" s="2188"/>
      <c r="C20" s="314" t="str">
        <f>IF('0 Úvod'!$M$10="English",Slovnik!D481,Slovnik!C481)</f>
        <v>Výkupy pozemků a nemovitostí</v>
      </c>
      <c r="D20" s="406"/>
      <c r="E20" s="402">
        <v>5</v>
      </c>
      <c r="F20" s="317"/>
      <c r="G20" s="317"/>
      <c r="H20" s="317"/>
      <c r="I20" s="317"/>
      <c r="J20" s="317"/>
      <c r="K20" s="318">
        <v>95</v>
      </c>
      <c r="L20" s="330">
        <f t="shared" si="0"/>
        <v>0.18486684782608695</v>
      </c>
    </row>
    <row r="21" spans="2:12" ht="13.5" customHeight="1" x14ac:dyDescent="0.3">
      <c r="B21" s="2188"/>
      <c r="C21" s="314" t="str">
        <f>IF('0 Úvod'!$M$10="English",Slovnik!D482,Slovnik!C482)</f>
        <v>Technická asistence, propagace</v>
      </c>
      <c r="D21" s="406"/>
      <c r="E21" s="402">
        <v>85</v>
      </c>
      <c r="F21" s="317">
        <v>5</v>
      </c>
      <c r="G21" s="317">
        <v>5</v>
      </c>
      <c r="H21" s="317"/>
      <c r="I21" s="317"/>
      <c r="J21" s="317">
        <v>5</v>
      </c>
      <c r="K21" s="318"/>
      <c r="L21" s="330">
        <f t="shared" si="0"/>
        <v>0.64280000000000004</v>
      </c>
    </row>
    <row r="22" spans="2:12" ht="13.5" customHeight="1" thickBot="1" x14ac:dyDescent="0.35">
      <c r="B22" s="2190"/>
      <c r="C22" s="316" t="str">
        <f>IF('0 Úvod'!$M$10="English",Slovnik!D483,Slovnik!C483)</f>
        <v>Technický dozor</v>
      </c>
      <c r="D22" s="408"/>
      <c r="E22" s="404">
        <v>85</v>
      </c>
      <c r="F22" s="321">
        <v>5</v>
      </c>
      <c r="G22" s="321">
        <v>5</v>
      </c>
      <c r="H22" s="321"/>
      <c r="I22" s="321"/>
      <c r="J22" s="321">
        <v>5</v>
      </c>
      <c r="K22" s="322"/>
      <c r="L22" s="331">
        <f t="shared" si="0"/>
        <v>0.64280000000000004</v>
      </c>
    </row>
    <row r="23" spans="2:12" ht="13.5" customHeight="1" thickBot="1" x14ac:dyDescent="0.3">
      <c r="B23" s="2184" t="str">
        <f>IF('0 Úvod'!$M$10="English",Slovnik!$D$484,Slovnik!$C$484)</f>
        <v>SILNIČNÍ INFRASTRUKTURA</v>
      </c>
      <c r="C23" s="2185"/>
      <c r="D23" s="2185"/>
      <c r="E23" s="2185"/>
      <c r="F23" s="2185"/>
      <c r="G23" s="2185"/>
      <c r="H23" s="2185"/>
      <c r="I23" s="2185"/>
      <c r="J23" s="2185"/>
      <c r="K23" s="2185"/>
      <c r="L23" s="2186"/>
    </row>
    <row r="24" spans="2:12" ht="13.5" customHeight="1" x14ac:dyDescent="0.3">
      <c r="B24" s="2187" t="str">
        <f>B6</f>
        <v>ZÁKLADNÍ ROZPOČTOVÉ NÁKLADY</v>
      </c>
      <c r="C24" s="314" t="str">
        <f>IF('0 Úvod'!$M$10="English",Slovnik!D485,Slovnik!C485)</f>
        <v>Obrusná vrstva</v>
      </c>
      <c r="D24" s="405"/>
      <c r="E24" s="402">
        <v>5</v>
      </c>
      <c r="F24" s="317">
        <v>20</v>
      </c>
      <c r="G24" s="317"/>
      <c r="H24" s="317">
        <v>65</v>
      </c>
      <c r="I24" s="317"/>
      <c r="J24" s="317">
        <v>10</v>
      </c>
      <c r="K24" s="318"/>
      <c r="L24" s="329">
        <f t="shared" ref="L24:L35" si="1">E24/100*$E$115+F24/100*$E$116+G24/100*$E$117+H24/100*$E$118+I24/100*$E$119+J24/100*$E$120+K24/100*$E$121</f>
        <v>0.86760000000000004</v>
      </c>
    </row>
    <row r="25" spans="2:12" ht="13.5" customHeight="1" x14ac:dyDescent="0.3">
      <c r="B25" s="2188"/>
      <c r="C25" s="314" t="str">
        <f>IF('0 Úvod'!$M$10="English",Slovnik!D486,Slovnik!C486)</f>
        <v>Ložná vrstva</v>
      </c>
      <c r="D25" s="406"/>
      <c r="E25" s="402">
        <v>5</v>
      </c>
      <c r="F25" s="317">
        <v>20</v>
      </c>
      <c r="G25" s="317"/>
      <c r="H25" s="317">
        <v>65</v>
      </c>
      <c r="I25" s="317"/>
      <c r="J25" s="317">
        <v>10</v>
      </c>
      <c r="K25" s="318"/>
      <c r="L25" s="330">
        <f t="shared" si="1"/>
        <v>0.86760000000000004</v>
      </c>
    </row>
    <row r="26" spans="2:12" ht="13.5" customHeight="1" x14ac:dyDescent="0.3">
      <c r="B26" s="2188"/>
      <c r="C26" s="314" t="str">
        <f>IF('0 Úvod'!$M$10="English",Slovnik!D487,Slovnik!C487)</f>
        <v>Podkladní vrstvy</v>
      </c>
      <c r="D26" s="406"/>
      <c r="E26" s="402">
        <v>5</v>
      </c>
      <c r="F26" s="317">
        <v>20</v>
      </c>
      <c r="G26" s="317"/>
      <c r="H26" s="317">
        <v>65</v>
      </c>
      <c r="I26" s="317"/>
      <c r="J26" s="317">
        <v>10</v>
      </c>
      <c r="K26" s="318"/>
      <c r="L26" s="330">
        <f t="shared" si="1"/>
        <v>0.86760000000000004</v>
      </c>
    </row>
    <row r="27" spans="2:12" ht="13.5" customHeight="1" x14ac:dyDescent="0.3">
      <c r="B27" s="2188"/>
      <c r="C27" s="314" t="str">
        <f>IF('0 Úvod'!$M$10="English",Slovnik!D488,Slovnik!C488)</f>
        <v>Inženýrské sítě a komunikace</v>
      </c>
      <c r="D27" s="406"/>
      <c r="E27" s="402">
        <v>5</v>
      </c>
      <c r="F27" s="317">
        <v>20</v>
      </c>
      <c r="G27" s="317"/>
      <c r="H27" s="317">
        <v>45</v>
      </c>
      <c r="I27" s="317">
        <v>25</v>
      </c>
      <c r="J27" s="317">
        <v>10</v>
      </c>
      <c r="K27" s="318"/>
      <c r="L27" s="330">
        <f t="shared" si="1"/>
        <v>0.91705000000000003</v>
      </c>
    </row>
    <row r="28" spans="2:12" ht="13.5" customHeight="1" x14ac:dyDescent="0.3">
      <c r="B28" s="2188"/>
      <c r="C28" s="314" t="str">
        <f>IF('0 Úvod'!$M$10="English",Slovnik!D489,Slovnik!C489)</f>
        <v>Odvodňovací zařízení</v>
      </c>
      <c r="D28" s="406"/>
      <c r="E28" s="402">
        <v>5</v>
      </c>
      <c r="F28" s="317">
        <v>20</v>
      </c>
      <c r="G28" s="317"/>
      <c r="H28" s="317">
        <v>45</v>
      </c>
      <c r="I28" s="317">
        <v>20</v>
      </c>
      <c r="J28" s="317">
        <v>10</v>
      </c>
      <c r="K28" s="318"/>
      <c r="L28" s="330">
        <f t="shared" si="1"/>
        <v>0.8680000000000001</v>
      </c>
    </row>
    <row r="29" spans="2:12" ht="13.5" customHeight="1" x14ac:dyDescent="0.3">
      <c r="B29" s="2188"/>
      <c r="C29" s="314" t="str">
        <f>IF('0 Úvod'!$M$10="English",Slovnik!D490,Slovnik!C490)</f>
        <v>Zemní těleso</v>
      </c>
      <c r="D29" s="406"/>
      <c r="E29" s="402">
        <v>5</v>
      </c>
      <c r="F29" s="317">
        <v>20</v>
      </c>
      <c r="G29" s="317"/>
      <c r="H29" s="317">
        <v>55</v>
      </c>
      <c r="I29" s="317">
        <v>10</v>
      </c>
      <c r="J29" s="317">
        <v>10</v>
      </c>
      <c r="K29" s="318"/>
      <c r="L29" s="330">
        <f t="shared" si="1"/>
        <v>0.8677999999999999</v>
      </c>
    </row>
    <row r="30" spans="2:12" ht="13.5" customHeight="1" x14ac:dyDescent="0.3">
      <c r="B30" s="2188"/>
      <c r="C30" s="314" t="str">
        <f>IF('0 Úvod'!$M$10="English",Slovnik!D491,Slovnik!C491)</f>
        <v xml:space="preserve">Mosty </v>
      </c>
      <c r="D30" s="406"/>
      <c r="E30" s="402">
        <v>10</v>
      </c>
      <c r="F30" s="317">
        <v>15</v>
      </c>
      <c r="G30" s="317"/>
      <c r="H30" s="317">
        <v>35</v>
      </c>
      <c r="I30" s="317">
        <v>35</v>
      </c>
      <c r="J30" s="317">
        <v>5</v>
      </c>
      <c r="K30" s="318"/>
      <c r="L30" s="330">
        <f t="shared" si="1"/>
        <v>0.87695000000000001</v>
      </c>
    </row>
    <row r="31" spans="2:12" ht="13.5" customHeight="1" x14ac:dyDescent="0.3">
      <c r="B31" s="2188"/>
      <c r="C31" s="314" t="str">
        <f>IF('0 Úvod'!$M$10="English",Slovnik!D492,Slovnik!C492)</f>
        <v>Tunely</v>
      </c>
      <c r="D31" s="406"/>
      <c r="E31" s="403">
        <v>15</v>
      </c>
      <c r="F31" s="319">
        <v>10</v>
      </c>
      <c r="G31" s="319"/>
      <c r="H31" s="319">
        <v>30</v>
      </c>
      <c r="I31" s="319">
        <v>40</v>
      </c>
      <c r="J31" s="319">
        <v>5</v>
      </c>
      <c r="K31" s="323"/>
      <c r="L31" s="330">
        <f t="shared" si="1"/>
        <v>0.87860000000000005</v>
      </c>
    </row>
    <row r="32" spans="2:12" ht="13.5" customHeight="1" x14ac:dyDescent="0.3">
      <c r="B32" s="2189" t="str">
        <f>B19</f>
        <v>VEDLEJŠÍ ROZP. NÁKLADY</v>
      </c>
      <c r="C32" s="315" t="str">
        <f>IF('0 Úvod'!$M$10="English",Slovnik!D493,Slovnik!C493)</f>
        <v>Přípravná a projektová dokumentace, průzkumy</v>
      </c>
      <c r="D32" s="407"/>
      <c r="E32" s="402">
        <v>85</v>
      </c>
      <c r="F32" s="317">
        <v>5</v>
      </c>
      <c r="G32" s="317">
        <v>5</v>
      </c>
      <c r="H32" s="317"/>
      <c r="I32" s="317"/>
      <c r="J32" s="317">
        <v>5</v>
      </c>
      <c r="K32" s="318"/>
      <c r="L32" s="410">
        <f t="shared" si="1"/>
        <v>0.64280000000000004</v>
      </c>
    </row>
    <row r="33" spans="2:12" ht="13.5" customHeight="1" x14ac:dyDescent="0.3">
      <c r="B33" s="2188"/>
      <c r="C33" s="314" t="str">
        <f>IF('0 Úvod'!$M$10="English",Slovnik!D494,Slovnik!C494)</f>
        <v>Výkupy pozemků a nemovitostí</v>
      </c>
      <c r="D33" s="406"/>
      <c r="E33" s="402">
        <v>5</v>
      </c>
      <c r="F33" s="317"/>
      <c r="G33" s="317"/>
      <c r="H33" s="317"/>
      <c r="I33" s="317"/>
      <c r="J33" s="317"/>
      <c r="K33" s="318">
        <v>95</v>
      </c>
      <c r="L33" s="330">
        <f t="shared" si="1"/>
        <v>0.18486684782608695</v>
      </c>
    </row>
    <row r="34" spans="2:12" ht="13.5" customHeight="1" x14ac:dyDescent="0.3">
      <c r="B34" s="2188"/>
      <c r="C34" s="314" t="str">
        <f>IF('0 Úvod'!$M$10="English",Slovnik!D495,Slovnik!C495)</f>
        <v>Technická asistence, propagace</v>
      </c>
      <c r="D34" s="406"/>
      <c r="E34" s="402">
        <v>85</v>
      </c>
      <c r="F34" s="317">
        <v>5</v>
      </c>
      <c r="G34" s="317">
        <v>5</v>
      </c>
      <c r="H34" s="317"/>
      <c r="I34" s="317"/>
      <c r="J34" s="317">
        <v>5</v>
      </c>
      <c r="K34" s="318"/>
      <c r="L34" s="330">
        <f t="shared" si="1"/>
        <v>0.64280000000000004</v>
      </c>
    </row>
    <row r="35" spans="2:12" ht="13.5" customHeight="1" thickBot="1" x14ac:dyDescent="0.35">
      <c r="B35" s="2190"/>
      <c r="C35" s="316" t="str">
        <f>IF('0 Úvod'!$M$10="English",Slovnik!D496,Slovnik!C496)</f>
        <v>Technický dozor</v>
      </c>
      <c r="D35" s="409"/>
      <c r="E35" s="404">
        <v>85</v>
      </c>
      <c r="F35" s="321">
        <v>5</v>
      </c>
      <c r="G35" s="321">
        <v>5</v>
      </c>
      <c r="H35" s="321"/>
      <c r="I35" s="321"/>
      <c r="J35" s="321">
        <v>5</v>
      </c>
      <c r="K35" s="322"/>
      <c r="L35" s="331">
        <f t="shared" si="1"/>
        <v>0.64280000000000004</v>
      </c>
    </row>
    <row r="36" spans="2:12" ht="13.5" customHeight="1" thickBot="1" x14ac:dyDescent="0.3">
      <c r="B36" s="2184" t="str">
        <f>IF('0 Úvod'!$M$10="English",Slovnik!$D$497,Slovnik!$C$497)</f>
        <v>VODNÍ INFRASTRUKTURA</v>
      </c>
      <c r="C36" s="2185"/>
      <c r="D36" s="2185"/>
      <c r="E36" s="2185"/>
      <c r="F36" s="2185"/>
      <c r="G36" s="2185"/>
      <c r="H36" s="2185"/>
      <c r="I36" s="2185"/>
      <c r="J36" s="2185"/>
      <c r="K36" s="2185"/>
      <c r="L36" s="2186"/>
    </row>
    <row r="37" spans="2:12" ht="13.5" customHeight="1" x14ac:dyDescent="0.3">
      <c r="B37" s="2187" t="str">
        <f>B24</f>
        <v>ZÁKLADNÍ ROZPOČTOVÉ NÁKLADY</v>
      </c>
      <c r="C37" s="314" t="str">
        <f>IF('0 Úvod'!$M$10="English",Slovnik!D498,Slovnik!C498)</f>
        <v>Přístavní zdi</v>
      </c>
      <c r="D37" s="405"/>
      <c r="E37" s="402">
        <v>10</v>
      </c>
      <c r="F37" s="317">
        <v>15</v>
      </c>
      <c r="G37" s="317"/>
      <c r="H37" s="317">
        <v>45</v>
      </c>
      <c r="I37" s="317">
        <v>25</v>
      </c>
      <c r="J37" s="317">
        <v>5</v>
      </c>
      <c r="K37" s="318"/>
      <c r="L37" s="329">
        <f t="shared" ref="L37:L51" si="2">E37/100*$E$115+F37/100*$E$116+G37/100*$E$117+H37/100*$E$118+I37/100*$E$119+J37/100*$E$120+K37/100*$E$121</f>
        <v>0.87675000000000003</v>
      </c>
    </row>
    <row r="38" spans="2:12" ht="13.5" customHeight="1" x14ac:dyDescent="0.3">
      <c r="B38" s="2188"/>
      <c r="C38" s="314" t="str">
        <f>IF('0 Úvod'!$M$10="English",Slovnik!D499,Slovnik!C499)</f>
        <v>Hrubé hydrotechnické konstrukce</v>
      </c>
      <c r="D38" s="406"/>
      <c r="E38" s="402">
        <v>15</v>
      </c>
      <c r="F38" s="317">
        <v>10</v>
      </c>
      <c r="G38" s="317"/>
      <c r="H38" s="317">
        <v>45</v>
      </c>
      <c r="I38" s="317">
        <v>25</v>
      </c>
      <c r="J38" s="317">
        <v>5</v>
      </c>
      <c r="K38" s="318"/>
      <c r="L38" s="330">
        <f t="shared" si="2"/>
        <v>0.87829999999999997</v>
      </c>
    </row>
    <row r="39" spans="2:12" ht="13.5" customHeight="1" x14ac:dyDescent="0.3">
      <c r="B39" s="2188"/>
      <c r="C39" s="314" t="str">
        <f>IF('0 Úvod'!$M$10="English",Slovnik!D500,Slovnik!C500)</f>
        <v>Ocelové konstrukce</v>
      </c>
      <c r="D39" s="406"/>
      <c r="E39" s="402">
        <v>10</v>
      </c>
      <c r="F39" s="317">
        <v>10</v>
      </c>
      <c r="G39" s="317">
        <v>10</v>
      </c>
      <c r="H39" s="317">
        <v>15</v>
      </c>
      <c r="I39" s="317">
        <v>50</v>
      </c>
      <c r="J39" s="317">
        <v>5</v>
      </c>
      <c r="K39" s="318"/>
      <c r="L39" s="330">
        <f t="shared" si="2"/>
        <v>0.89710000000000012</v>
      </c>
    </row>
    <row r="40" spans="2:12" ht="13.5" customHeight="1" x14ac:dyDescent="0.3">
      <c r="B40" s="2188"/>
      <c r="C40" s="314" t="str">
        <f>IF('0 Úvod'!$M$10="English",Slovnik!D501,Slovnik!C501)</f>
        <v>Mosty, propustky, tunely a štoly</v>
      </c>
      <c r="D40" s="406"/>
      <c r="E40" s="402">
        <v>10</v>
      </c>
      <c r="F40" s="317">
        <v>15</v>
      </c>
      <c r="G40" s="317"/>
      <c r="H40" s="317">
        <v>45</v>
      </c>
      <c r="I40" s="317">
        <v>25</v>
      </c>
      <c r="J40" s="317">
        <v>5</v>
      </c>
      <c r="K40" s="318"/>
      <c r="L40" s="330">
        <f t="shared" si="2"/>
        <v>0.87675000000000003</v>
      </c>
    </row>
    <row r="41" spans="2:12" ht="13.5" customHeight="1" x14ac:dyDescent="0.3">
      <c r="B41" s="2188"/>
      <c r="C41" s="314" t="str">
        <f>IF('0 Úvod'!$M$10="English",Slovnik!D502,Slovnik!C502)</f>
        <v>Pozemní stavby</v>
      </c>
      <c r="D41" s="406"/>
      <c r="E41" s="402">
        <v>10</v>
      </c>
      <c r="F41" s="317">
        <v>15</v>
      </c>
      <c r="G41" s="317"/>
      <c r="H41" s="317">
        <v>30</v>
      </c>
      <c r="I41" s="317">
        <v>40</v>
      </c>
      <c r="J41" s="317">
        <v>5</v>
      </c>
      <c r="K41" s="318"/>
      <c r="L41" s="330">
        <f t="shared" si="2"/>
        <v>0.87705</v>
      </c>
    </row>
    <row r="42" spans="2:12" ht="13.5" customHeight="1" x14ac:dyDescent="0.3">
      <c r="B42" s="2188"/>
      <c r="C42" s="314" t="str">
        <f>IF('0 Úvod'!$M$10="English",Slovnik!D503,Slovnik!C503)</f>
        <v>Komunikace a zpevněné plochy</v>
      </c>
      <c r="D42" s="406"/>
      <c r="E42" s="402">
        <v>10</v>
      </c>
      <c r="F42" s="317">
        <v>15</v>
      </c>
      <c r="G42" s="317"/>
      <c r="H42" s="317">
        <v>40</v>
      </c>
      <c r="I42" s="317">
        <v>30</v>
      </c>
      <c r="J42" s="317">
        <v>5</v>
      </c>
      <c r="K42" s="318"/>
      <c r="L42" s="330">
        <f t="shared" si="2"/>
        <v>0.87685000000000002</v>
      </c>
    </row>
    <row r="43" spans="2:12" ht="13.5" customHeight="1" x14ac:dyDescent="0.3">
      <c r="B43" s="2188"/>
      <c r="C43" s="314" t="str">
        <f>IF('0 Úvod'!$M$10="English",Slovnik!D504,Slovnik!C504)</f>
        <v>Silnoproudá instalace</v>
      </c>
      <c r="D43" s="406"/>
      <c r="E43" s="402">
        <v>15</v>
      </c>
      <c r="F43" s="317">
        <v>10</v>
      </c>
      <c r="G43" s="317">
        <v>30</v>
      </c>
      <c r="H43" s="317"/>
      <c r="I43" s="317">
        <v>40</v>
      </c>
      <c r="J43" s="317">
        <v>5</v>
      </c>
      <c r="K43" s="318"/>
      <c r="L43" s="330">
        <f t="shared" si="2"/>
        <v>0.87890000000000013</v>
      </c>
    </row>
    <row r="44" spans="2:12" ht="13.5" customHeight="1" x14ac:dyDescent="0.3">
      <c r="B44" s="2188"/>
      <c r="C44" s="314" t="str">
        <f>IF('0 Úvod'!$M$10="English",Slovnik!D505,Slovnik!C505)</f>
        <v>Slaboproudá instalace</v>
      </c>
      <c r="D44" s="406"/>
      <c r="E44" s="402">
        <v>15</v>
      </c>
      <c r="F44" s="317">
        <v>10</v>
      </c>
      <c r="G44" s="317">
        <v>30</v>
      </c>
      <c r="H44" s="317"/>
      <c r="I44" s="317">
        <v>40</v>
      </c>
      <c r="J44" s="317">
        <v>5</v>
      </c>
      <c r="K44" s="318"/>
      <c r="L44" s="330">
        <f t="shared" si="2"/>
        <v>0.87890000000000013</v>
      </c>
    </row>
    <row r="45" spans="2:12" ht="13.5" customHeight="1" x14ac:dyDescent="0.3">
      <c r="B45" s="2188"/>
      <c r="C45" s="314" t="str">
        <f>IF('0 Úvod'!$M$10="English",Slovnik!D506,Slovnik!C506)</f>
        <v>Inženýrské objekty (trubní vedení a kabelovody)</v>
      </c>
      <c r="D45" s="406"/>
      <c r="E45" s="402">
        <v>5</v>
      </c>
      <c r="F45" s="317">
        <v>20</v>
      </c>
      <c r="G45" s="317">
        <v>5</v>
      </c>
      <c r="H45" s="317">
        <v>55</v>
      </c>
      <c r="I45" s="317">
        <v>10</v>
      </c>
      <c r="J45" s="317">
        <v>5</v>
      </c>
      <c r="K45" s="318"/>
      <c r="L45" s="330">
        <f t="shared" si="2"/>
        <v>0.87495000000000001</v>
      </c>
    </row>
    <row r="46" spans="2:12" ht="13.5" customHeight="1" x14ac:dyDescent="0.3">
      <c r="B46" s="2188"/>
      <c r="C46" s="314" t="str">
        <f>IF('0 Úvod'!$M$10="English",Slovnik!D507,Slovnik!C507)</f>
        <v>Úpravy vodního toku a terénní úpravy</v>
      </c>
      <c r="D46" s="406"/>
      <c r="E46" s="402">
        <v>15</v>
      </c>
      <c r="F46" s="317">
        <v>20</v>
      </c>
      <c r="G46" s="317"/>
      <c r="H46" s="317">
        <v>45</v>
      </c>
      <c r="I46" s="317">
        <v>15</v>
      </c>
      <c r="J46" s="317">
        <v>5</v>
      </c>
      <c r="K46" s="318"/>
      <c r="L46" s="330">
        <f t="shared" si="2"/>
        <v>0.83860000000000001</v>
      </c>
    </row>
    <row r="47" spans="2:12" ht="13.5" customHeight="1" x14ac:dyDescent="0.3">
      <c r="B47" s="2212"/>
      <c r="C47" s="314" t="str">
        <f>IF('0 Úvod'!$M$10="English",Slovnik!D508,Slovnik!C508)</f>
        <v>Objekty ochrany životního prostředí</v>
      </c>
      <c r="D47" s="406"/>
      <c r="E47" s="403">
        <v>10</v>
      </c>
      <c r="F47" s="319">
        <v>15</v>
      </c>
      <c r="G47" s="319"/>
      <c r="H47" s="319">
        <v>35</v>
      </c>
      <c r="I47" s="319">
        <v>35</v>
      </c>
      <c r="J47" s="319">
        <v>5</v>
      </c>
      <c r="K47" s="323"/>
      <c r="L47" s="330">
        <f t="shared" si="2"/>
        <v>0.87695000000000001</v>
      </c>
    </row>
    <row r="48" spans="2:12" ht="13.5" customHeight="1" x14ac:dyDescent="0.3">
      <c r="B48" s="2189" t="str">
        <f>B32</f>
        <v>VEDLEJŠÍ ROZP. NÁKLADY</v>
      </c>
      <c r="C48" s="315" t="str">
        <f>IF('0 Úvod'!$M$10="English",Slovnik!D509,Slovnik!C509)</f>
        <v>Přípravná a projektová dokumentace, průzkumy</v>
      </c>
      <c r="D48" s="407"/>
      <c r="E48" s="402">
        <v>85</v>
      </c>
      <c r="F48" s="317">
        <v>5</v>
      </c>
      <c r="G48" s="317">
        <v>5</v>
      </c>
      <c r="H48" s="317"/>
      <c r="I48" s="317"/>
      <c r="J48" s="317">
        <v>5</v>
      </c>
      <c r="K48" s="318"/>
      <c r="L48" s="410">
        <f t="shared" si="2"/>
        <v>0.64280000000000004</v>
      </c>
    </row>
    <row r="49" spans="2:12" ht="13.5" customHeight="1" x14ac:dyDescent="0.3">
      <c r="B49" s="2188"/>
      <c r="C49" s="314" t="str">
        <f>IF('0 Úvod'!$M$10="English",Slovnik!D510,Slovnik!C510)</f>
        <v>Výkupy pozemků a nemovitostí</v>
      </c>
      <c r="D49" s="406"/>
      <c r="E49" s="402">
        <v>5</v>
      </c>
      <c r="F49" s="317"/>
      <c r="G49" s="317"/>
      <c r="H49" s="317"/>
      <c r="I49" s="317"/>
      <c r="J49" s="317"/>
      <c r="K49" s="318">
        <v>95</v>
      </c>
      <c r="L49" s="330">
        <f t="shared" si="2"/>
        <v>0.18486684782608695</v>
      </c>
    </row>
    <row r="50" spans="2:12" ht="13.5" customHeight="1" x14ac:dyDescent="0.3">
      <c r="B50" s="2188"/>
      <c r="C50" s="314" t="str">
        <f>IF('0 Úvod'!$M$10="English",Slovnik!D511,Slovnik!C511)</f>
        <v>Technická asistence, propagace</v>
      </c>
      <c r="D50" s="406"/>
      <c r="E50" s="402">
        <v>85</v>
      </c>
      <c r="F50" s="317">
        <v>5</v>
      </c>
      <c r="G50" s="317">
        <v>5</v>
      </c>
      <c r="H50" s="317"/>
      <c r="I50" s="317"/>
      <c r="J50" s="317">
        <v>5</v>
      </c>
      <c r="K50" s="318"/>
      <c r="L50" s="330">
        <f t="shared" si="2"/>
        <v>0.64280000000000004</v>
      </c>
    </row>
    <row r="51" spans="2:12" ht="13.5" customHeight="1" thickBot="1" x14ac:dyDescent="0.35">
      <c r="B51" s="2213"/>
      <c r="C51" s="411" t="str">
        <f>IF('0 Úvod'!$M$10="English",Slovnik!D512,Slovnik!C512)</f>
        <v>Technický dozor</v>
      </c>
      <c r="D51" s="408"/>
      <c r="E51" s="412">
        <v>85</v>
      </c>
      <c r="F51" s="413">
        <v>5</v>
      </c>
      <c r="G51" s="413">
        <v>5</v>
      </c>
      <c r="H51" s="413"/>
      <c r="I51" s="413"/>
      <c r="J51" s="413">
        <v>5</v>
      </c>
      <c r="K51" s="414"/>
      <c r="L51" s="415">
        <f t="shared" si="2"/>
        <v>0.64280000000000004</v>
      </c>
    </row>
    <row r="53" spans="2:12" ht="14.25" thickBot="1" x14ac:dyDescent="0.3"/>
    <row r="54" spans="2:12" ht="13.5" customHeight="1" thickBot="1" x14ac:dyDescent="0.3">
      <c r="B54" s="2202" t="s">
        <v>57</v>
      </c>
      <c r="C54" s="2197" t="str">
        <f>IF('0 Úvod'!$M$10="English",Slovnik!$D$513,Slovnik!$C$513)</f>
        <v>Konverzní faktor -PROVOZNÍ NÁKLADY</v>
      </c>
      <c r="D54" s="2194" t="str">
        <f>D2</f>
        <v>Náklady (CZK)</v>
      </c>
      <c r="E54" s="2191" t="str">
        <f>E2</f>
        <v>Zastoupení složky pro konverzní faktor [%]</v>
      </c>
      <c r="F54" s="2192"/>
      <c r="G54" s="2192"/>
      <c r="H54" s="2192"/>
      <c r="I54" s="2192"/>
      <c r="J54" s="2192"/>
      <c r="K54" s="2193"/>
      <c r="L54" s="2181" t="str">
        <f>L2</f>
        <v>KF (bez ziskové marže)</v>
      </c>
    </row>
    <row r="55" spans="2:12" ht="13.5" customHeight="1" x14ac:dyDescent="0.25">
      <c r="B55" s="2203"/>
      <c r="C55" s="2198"/>
      <c r="D55" s="2195"/>
      <c r="E55" s="2200" t="str">
        <f>E3</f>
        <v>PRÁCE</v>
      </c>
      <c r="F55" s="2201"/>
      <c r="G55" s="2201" t="str">
        <f>G3</f>
        <v>MATERIÁL</v>
      </c>
      <c r="H55" s="2201"/>
      <c r="I55" s="2201"/>
      <c r="J55" s="309" t="str">
        <f>J3</f>
        <v>ENERGIE + PH</v>
      </c>
      <c r="K55" s="310" t="str">
        <f>K3</f>
        <v>POZEMKY</v>
      </c>
      <c r="L55" s="2182"/>
    </row>
    <row r="56" spans="2:12" ht="13.5" customHeight="1" thickBot="1" x14ac:dyDescent="0.3">
      <c r="B56" s="2204"/>
      <c r="C56" s="2199"/>
      <c r="D56" s="2196"/>
      <c r="E56" s="311" t="str">
        <f>E4</f>
        <v>kvalifikovaná</v>
      </c>
      <c r="F56" s="312" t="str">
        <f>F4</f>
        <v>nekvalifikovaná</v>
      </c>
      <c r="G56" s="312" t="str">
        <f>G4</f>
        <v>IT (SW, HW)</v>
      </c>
      <c r="H56" s="312" t="str">
        <f>H4</f>
        <v>sypké hmoty, beton…</v>
      </c>
      <c r="I56" s="312" t="str">
        <f>I4</f>
        <v>konstrukce</v>
      </c>
      <c r="J56" s="312"/>
      <c r="K56" s="313"/>
      <c r="L56" s="2183"/>
    </row>
    <row r="57" spans="2:12" ht="13.5" customHeight="1" thickBot="1" x14ac:dyDescent="0.3">
      <c r="B57" s="2184" t="str">
        <f>B5</f>
        <v>ŽELEZNIČNÍ INFRASTRUKTURA</v>
      </c>
      <c r="C57" s="2185"/>
      <c r="D57" s="2185"/>
      <c r="E57" s="2185"/>
      <c r="F57" s="2185"/>
      <c r="G57" s="2185"/>
      <c r="H57" s="2185"/>
      <c r="I57" s="2185"/>
      <c r="J57" s="2185"/>
      <c r="K57" s="2185"/>
      <c r="L57" s="2186"/>
    </row>
    <row r="58" spans="2:12" ht="13.5" customHeight="1" thickBot="1" x14ac:dyDescent="0.3">
      <c r="B58" s="2220" t="str">
        <f>IF('0 Úvod'!$M$10="English",Slovnik!$D$514,Slovnik!$C$514)</f>
        <v>provozuschopnost - OPRAVY A ÚDRŽBA</v>
      </c>
      <c r="C58" s="2221"/>
      <c r="D58" s="2221"/>
      <c r="E58" s="2221"/>
      <c r="F58" s="2221"/>
      <c r="G58" s="2221"/>
      <c r="H58" s="2221"/>
      <c r="I58" s="2221"/>
      <c r="J58" s="2221"/>
      <c r="K58" s="2221"/>
      <c r="L58" s="2222"/>
    </row>
    <row r="59" spans="2:12" ht="13.5" customHeight="1" x14ac:dyDescent="0.3">
      <c r="B59" s="418"/>
      <c r="C59" s="416" t="str">
        <f>IF('0 Úvod'!$M$10="English",Slovnik!D515,Slovnik!C515)</f>
        <v>Mosty a tunely</v>
      </c>
      <c r="D59" s="405"/>
      <c r="E59" s="417">
        <v>10</v>
      </c>
      <c r="F59" s="324">
        <v>30</v>
      </c>
      <c r="G59" s="324">
        <v>30</v>
      </c>
      <c r="H59" s="324"/>
      <c r="I59" s="324">
        <v>20</v>
      </c>
      <c r="J59" s="324">
        <v>10</v>
      </c>
      <c r="K59" s="325"/>
      <c r="L59" s="329">
        <f>E59/100*$E$115+F59/100*$E$116+G59/100*$E$117+H59/100*$E$118+I59/100*$E$119+J59/100*$E$120+K59/100*$E$121</f>
        <v>0.81059999999999999</v>
      </c>
    </row>
    <row r="60" spans="2:12" ht="13.5" customHeight="1" x14ac:dyDescent="0.3">
      <c r="B60" s="419"/>
      <c r="C60" s="314" t="str">
        <f>IF('0 Úvod'!$M$10="English",Slovnik!D516,Slovnik!C516)</f>
        <v>Provozní budovy</v>
      </c>
      <c r="D60" s="406"/>
      <c r="E60" s="402">
        <v>10</v>
      </c>
      <c r="F60" s="317">
        <v>30</v>
      </c>
      <c r="G60" s="317">
        <v>30</v>
      </c>
      <c r="H60" s="317"/>
      <c r="I60" s="317">
        <v>20</v>
      </c>
      <c r="J60" s="317">
        <v>10</v>
      </c>
      <c r="K60" s="318"/>
      <c r="L60" s="330">
        <f>E60/100*$E$115+F60/100*$E$116+G60/100*$E$117+H60/100*$E$118+I60/100*$E$119+J60/100*$E$120+K60/100*$E$121</f>
        <v>0.81059999999999999</v>
      </c>
    </row>
    <row r="61" spans="2:12" ht="13.5" customHeight="1" x14ac:dyDescent="0.3">
      <c r="B61" s="419"/>
      <c r="C61" s="314" t="str">
        <f>IF('0 Úvod'!$M$10="English",Slovnik!D517,Slovnik!C517)</f>
        <v>Traťové hospodářství</v>
      </c>
      <c r="D61" s="406"/>
      <c r="E61" s="402">
        <v>10</v>
      </c>
      <c r="F61" s="317">
        <v>25</v>
      </c>
      <c r="G61" s="317">
        <v>5</v>
      </c>
      <c r="H61" s="317">
        <v>35</v>
      </c>
      <c r="I61" s="317">
        <v>15</v>
      </c>
      <c r="J61" s="317">
        <v>10</v>
      </c>
      <c r="K61" s="318"/>
      <c r="L61" s="330">
        <f>E61/100*$E$115+F61/100*$E$116+G61/100*$E$117+H61/100*$E$118+I61/100*$E$119+J61/100*$E$120+K61/100*$E$121</f>
        <v>0.83</v>
      </c>
    </row>
    <row r="62" spans="2:12" ht="13.5" customHeight="1" x14ac:dyDescent="0.3">
      <c r="B62" s="419"/>
      <c r="C62" s="314" t="str">
        <f>IF('0 Úvod'!$M$10="English",Slovnik!D518,Slovnik!C518)</f>
        <v>Zab. a sděl. zařízení</v>
      </c>
      <c r="D62" s="406"/>
      <c r="E62" s="402">
        <v>15</v>
      </c>
      <c r="F62" s="317">
        <v>30</v>
      </c>
      <c r="G62" s="317">
        <v>30</v>
      </c>
      <c r="H62" s="317"/>
      <c r="I62" s="317">
        <v>15</v>
      </c>
      <c r="J62" s="317">
        <v>10</v>
      </c>
      <c r="K62" s="318"/>
      <c r="L62" s="330">
        <f>E62/100*$E$115+F62/100*$E$116+G62/100*$E$117+H62/100*$E$118+I62/100*$E$119+J62/100*$E$120+K62/100*$E$121</f>
        <v>0.7923</v>
      </c>
    </row>
    <row r="63" spans="2:12" ht="13.5" customHeight="1" thickBot="1" x14ac:dyDescent="0.35">
      <c r="B63" s="419"/>
      <c r="C63" s="314" t="str">
        <f>IF('0 Úvod'!$M$10="English",Slovnik!D519,Slovnik!C519)</f>
        <v>Elektrotechnika a energo</v>
      </c>
      <c r="D63" s="406"/>
      <c r="E63" s="402">
        <v>10</v>
      </c>
      <c r="F63" s="317">
        <v>30</v>
      </c>
      <c r="G63" s="317">
        <v>30</v>
      </c>
      <c r="H63" s="317"/>
      <c r="I63" s="317">
        <v>20</v>
      </c>
      <c r="J63" s="317">
        <v>10</v>
      </c>
      <c r="K63" s="318"/>
      <c r="L63" s="330">
        <f>E63/100*$E$115+F63/100*$E$116+G63/100*$E$117+H63/100*$E$118+I63/100*$E$119+J63/100*$E$120+K63/100*$E$121</f>
        <v>0.81059999999999999</v>
      </c>
    </row>
    <row r="64" spans="2:12" ht="13.5" customHeight="1" thickBot="1" x14ac:dyDescent="0.3">
      <c r="B64" s="2220" t="str">
        <f>IF('0 Úvod'!$M$10="English",Slovnik!$D$520,Slovnik!$C$520)</f>
        <v>provozuschopnost - REINVESTICE</v>
      </c>
      <c r="C64" s="2221"/>
      <c r="D64" s="2221"/>
      <c r="E64" s="2221"/>
      <c r="F64" s="2221"/>
      <c r="G64" s="2221"/>
      <c r="H64" s="2221"/>
      <c r="I64" s="2221"/>
      <c r="J64" s="2221"/>
      <c r="K64" s="2221"/>
      <c r="L64" s="2222"/>
    </row>
    <row r="65" spans="2:12" ht="13.5" customHeight="1" x14ac:dyDescent="0.3">
      <c r="B65" s="419"/>
      <c r="C65" s="314" t="str">
        <f>C59</f>
        <v>Mosty a tunely</v>
      </c>
      <c r="D65" s="405"/>
      <c r="E65" s="402">
        <v>10</v>
      </c>
      <c r="F65" s="317">
        <v>15</v>
      </c>
      <c r="G65" s="317">
        <v>5</v>
      </c>
      <c r="H65" s="317">
        <v>40</v>
      </c>
      <c r="I65" s="317">
        <v>25</v>
      </c>
      <c r="J65" s="317">
        <v>5</v>
      </c>
      <c r="K65" s="318"/>
      <c r="L65" s="330">
        <f>E65/100*$E$115+F65/100*$E$116+G65/100*$E$117+H65/100*$E$118+I65/100*$E$119+J65/100*$E$120+K65/100*$E$121</f>
        <v>0.87680000000000002</v>
      </c>
    </row>
    <row r="66" spans="2:12" ht="13.5" customHeight="1" x14ac:dyDescent="0.3">
      <c r="B66" s="419"/>
      <c r="C66" s="314" t="str">
        <f t="shared" ref="C66:C69" si="3">C60</f>
        <v>Provozní budovy</v>
      </c>
      <c r="D66" s="406"/>
      <c r="E66" s="402">
        <v>10</v>
      </c>
      <c r="F66" s="317">
        <v>15</v>
      </c>
      <c r="G66" s="317">
        <v>5</v>
      </c>
      <c r="H66" s="317">
        <v>40</v>
      </c>
      <c r="I66" s="317">
        <v>25</v>
      </c>
      <c r="J66" s="317">
        <v>5</v>
      </c>
      <c r="K66" s="318"/>
      <c r="L66" s="330">
        <f>E66/100*$E$115+F66/100*$E$116+G66/100*$E$117+H66/100*$E$118+I66/100*$E$119+J66/100*$E$120+K66/100*$E$121</f>
        <v>0.87680000000000002</v>
      </c>
    </row>
    <row r="67" spans="2:12" ht="13.5" customHeight="1" x14ac:dyDescent="0.3">
      <c r="B67" s="419"/>
      <c r="C67" s="314" t="str">
        <f t="shared" si="3"/>
        <v>Traťové hospodářství</v>
      </c>
      <c r="D67" s="406"/>
      <c r="E67" s="402">
        <v>10</v>
      </c>
      <c r="F67" s="317">
        <v>15</v>
      </c>
      <c r="G67" s="317"/>
      <c r="H67" s="317">
        <v>45</v>
      </c>
      <c r="I67" s="317">
        <v>25</v>
      </c>
      <c r="J67" s="317">
        <v>5</v>
      </c>
      <c r="K67" s="318"/>
      <c r="L67" s="330">
        <f>E67/100*$E$115+F67/100*$E$116+G67/100*$E$117+H67/100*$E$118+I67/100*$E$119+J67/100*$E$120+K67/100*$E$121</f>
        <v>0.87675000000000003</v>
      </c>
    </row>
    <row r="68" spans="2:12" ht="13.5" customHeight="1" x14ac:dyDescent="0.3">
      <c r="B68" s="419"/>
      <c r="C68" s="314" t="str">
        <f t="shared" si="3"/>
        <v>Zab. a sděl. zařízení</v>
      </c>
      <c r="D68" s="406"/>
      <c r="E68" s="402">
        <v>15</v>
      </c>
      <c r="F68" s="317">
        <v>15</v>
      </c>
      <c r="G68" s="317">
        <v>60</v>
      </c>
      <c r="H68" s="317"/>
      <c r="I68" s="317">
        <v>5</v>
      </c>
      <c r="J68" s="317">
        <v>5</v>
      </c>
      <c r="K68" s="318"/>
      <c r="L68" s="330">
        <f>E68/100*$E$115+F68/100*$E$116+G68/100*$E$117+H68/100*$E$118+I68/100*$E$119+J68/100*$E$120+K68/100*$E$121</f>
        <v>0.85875000000000001</v>
      </c>
    </row>
    <row r="69" spans="2:12" ht="13.5" customHeight="1" thickBot="1" x14ac:dyDescent="0.35">
      <c r="B69" s="419"/>
      <c r="C69" s="314" t="str">
        <f t="shared" si="3"/>
        <v>Elektrotechnika a energo</v>
      </c>
      <c r="D69" s="406"/>
      <c r="E69" s="402">
        <v>10</v>
      </c>
      <c r="F69" s="317">
        <v>15</v>
      </c>
      <c r="G69" s="317">
        <v>30</v>
      </c>
      <c r="H69" s="317"/>
      <c r="I69" s="317">
        <v>40</v>
      </c>
      <c r="J69" s="317">
        <v>5</v>
      </c>
      <c r="K69" s="318"/>
      <c r="L69" s="330">
        <f>E69/100*$E$115+F69/100*$E$116+G69/100*$E$117+H69/100*$E$118+I69/100*$E$119+J69/100*$E$120+K69/100*$E$121</f>
        <v>0.87735000000000007</v>
      </c>
    </row>
    <row r="70" spans="2:12" ht="13.5" customHeight="1" thickBot="1" x14ac:dyDescent="0.3">
      <c r="B70" s="2220" t="str">
        <f>IF('0 Úvod'!$M$10="English",Slovnik!$D$521,Slovnik!$C$521)</f>
        <v>provozování - ŘÍZENÍ DOPRAVY</v>
      </c>
      <c r="C70" s="2221"/>
      <c r="D70" s="2221"/>
      <c r="E70" s="2221"/>
      <c r="F70" s="2221"/>
      <c r="G70" s="2221"/>
      <c r="H70" s="2221"/>
      <c r="I70" s="2221"/>
      <c r="J70" s="2221"/>
      <c r="K70" s="2221"/>
      <c r="L70" s="2222"/>
    </row>
    <row r="71" spans="2:12" ht="13.5" customHeight="1" x14ac:dyDescent="0.3">
      <c r="B71" s="419"/>
      <c r="C71" s="314" t="str">
        <f>IF('0 Úvod'!$M$10="English",Slovnik!D522,Slovnik!C522)</f>
        <v>Dozorčí provozu</v>
      </c>
      <c r="D71" s="405"/>
      <c r="E71" s="402">
        <v>97</v>
      </c>
      <c r="F71" s="317"/>
      <c r="G71" s="317"/>
      <c r="H71" s="317"/>
      <c r="I71" s="317"/>
      <c r="J71" s="317">
        <v>3</v>
      </c>
      <c r="K71" s="318"/>
      <c r="L71" s="330">
        <f t="shared" ref="L71:L83" si="4">E71/100*$E$115+F71/100*$E$116+G71/100*$E$117+H71/100*$E$118+I71/100*$E$119+J71/100*$E$120+K71/100*$E$121</f>
        <v>0.62165999999999999</v>
      </c>
    </row>
    <row r="72" spans="2:12" ht="13.5" customHeight="1" x14ac:dyDescent="0.3">
      <c r="B72" s="420"/>
      <c r="C72" s="314" t="str">
        <f>IF('0 Úvod'!$M$10="English",Slovnik!D523,Slovnik!C523)</f>
        <v>Výpravčí</v>
      </c>
      <c r="D72" s="406"/>
      <c r="E72" s="402">
        <v>97</v>
      </c>
      <c r="F72" s="317"/>
      <c r="G72" s="317"/>
      <c r="H72" s="317"/>
      <c r="I72" s="317"/>
      <c r="J72" s="317">
        <v>3</v>
      </c>
      <c r="K72" s="318"/>
      <c r="L72" s="330">
        <f t="shared" si="4"/>
        <v>0.62165999999999999</v>
      </c>
    </row>
    <row r="73" spans="2:12" ht="13.5" customHeight="1" x14ac:dyDescent="0.3">
      <c r="B73" s="420"/>
      <c r="C73" s="314" t="str">
        <f>IF('0 Úvod'!$M$10="English",Slovnik!D524,Slovnik!C524)</f>
        <v>Dozorčí provozu - vedoucí směny</v>
      </c>
      <c r="D73" s="406"/>
      <c r="E73" s="402">
        <v>97</v>
      </c>
      <c r="F73" s="317"/>
      <c r="G73" s="317"/>
      <c r="H73" s="317"/>
      <c r="I73" s="317"/>
      <c r="J73" s="317">
        <v>3</v>
      </c>
      <c r="K73" s="318"/>
      <c r="L73" s="330">
        <f t="shared" si="4"/>
        <v>0.62165999999999999</v>
      </c>
    </row>
    <row r="74" spans="2:12" ht="13.5" customHeight="1" x14ac:dyDescent="0.3">
      <c r="B74" s="420"/>
      <c r="C74" s="314" t="str">
        <f>IF('0 Úvod'!$M$10="English",Slovnik!D525,Slovnik!C525)</f>
        <v>Operátor železniční dopravy</v>
      </c>
      <c r="D74" s="406"/>
      <c r="E74" s="402"/>
      <c r="F74" s="317">
        <v>97</v>
      </c>
      <c r="G74" s="317"/>
      <c r="H74" s="317"/>
      <c r="I74" s="317"/>
      <c r="J74" s="317">
        <v>3</v>
      </c>
      <c r="K74" s="318"/>
      <c r="L74" s="330">
        <f t="shared" si="4"/>
        <v>0.59158999999999995</v>
      </c>
    </row>
    <row r="75" spans="2:12" ht="13.5" customHeight="1" x14ac:dyDescent="0.3">
      <c r="B75" s="420"/>
      <c r="C75" s="314" t="str">
        <f>IF('0 Úvod'!$M$10="English",Slovnik!D526,Slovnik!C526)</f>
        <v>Signalista</v>
      </c>
      <c r="D75" s="406"/>
      <c r="E75" s="402">
        <v>97</v>
      </c>
      <c r="F75" s="317"/>
      <c r="G75" s="317"/>
      <c r="H75" s="317"/>
      <c r="I75" s="317"/>
      <c r="J75" s="317">
        <v>3</v>
      </c>
      <c r="K75" s="318"/>
      <c r="L75" s="330">
        <f t="shared" si="4"/>
        <v>0.62165999999999999</v>
      </c>
    </row>
    <row r="76" spans="2:12" ht="14.25" x14ac:dyDescent="0.3">
      <c r="B76" s="420"/>
      <c r="C76" s="314" t="str">
        <f>IF('0 Úvod'!$M$10="English",Slovnik!D527,Slovnik!C527)</f>
        <v>Výhybkář</v>
      </c>
      <c r="D76" s="406"/>
      <c r="E76" s="402"/>
      <c r="F76" s="317">
        <v>97</v>
      </c>
      <c r="G76" s="317"/>
      <c r="H76" s="317"/>
      <c r="I76" s="317"/>
      <c r="J76" s="317">
        <v>3</v>
      </c>
      <c r="K76" s="318"/>
      <c r="L76" s="330">
        <f t="shared" si="4"/>
        <v>0.59158999999999995</v>
      </c>
    </row>
    <row r="77" spans="2:12" ht="14.25" x14ac:dyDescent="0.3">
      <c r="B77" s="420"/>
      <c r="C77" s="314" t="str">
        <f>IF('0 Úvod'!$M$10="English",Slovnik!D528,Slovnik!C528)</f>
        <v>Staniční dozorce</v>
      </c>
      <c r="D77" s="406"/>
      <c r="E77" s="402"/>
      <c r="F77" s="317">
        <v>97</v>
      </c>
      <c r="G77" s="317"/>
      <c r="H77" s="317"/>
      <c r="I77" s="317"/>
      <c r="J77" s="317">
        <v>3</v>
      </c>
      <c r="K77" s="318"/>
      <c r="L77" s="330">
        <f t="shared" si="4"/>
        <v>0.59158999999999995</v>
      </c>
    </row>
    <row r="78" spans="2:12" ht="14.25" x14ac:dyDescent="0.3">
      <c r="B78" s="420"/>
      <c r="C78" s="314" t="str">
        <f>IF('0 Úvod'!$M$10="English",Slovnik!D529,Slovnik!C529)</f>
        <v>Dozorce výhybek</v>
      </c>
      <c r="D78" s="406"/>
      <c r="E78" s="402"/>
      <c r="F78" s="317">
        <v>97</v>
      </c>
      <c r="G78" s="317"/>
      <c r="H78" s="317"/>
      <c r="I78" s="317"/>
      <c r="J78" s="317">
        <v>3</v>
      </c>
      <c r="K78" s="318"/>
      <c r="L78" s="330">
        <f t="shared" si="4"/>
        <v>0.59158999999999995</v>
      </c>
    </row>
    <row r="79" spans="2:12" ht="14.25" x14ac:dyDescent="0.3">
      <c r="B79" s="420"/>
      <c r="C79" s="314" t="str">
        <f>IF('0 Úvod'!$M$10="English",Slovnik!D530,Slovnik!C530)</f>
        <v>Závorář</v>
      </c>
      <c r="D79" s="406"/>
      <c r="E79" s="402"/>
      <c r="F79" s="317">
        <v>97</v>
      </c>
      <c r="G79" s="317"/>
      <c r="H79" s="317"/>
      <c r="I79" s="317"/>
      <c r="J79" s="317">
        <v>3</v>
      </c>
      <c r="K79" s="318"/>
      <c r="L79" s="330">
        <f t="shared" si="4"/>
        <v>0.59158999999999995</v>
      </c>
    </row>
    <row r="80" spans="2:12" ht="14.25" x14ac:dyDescent="0.3">
      <c r="B80" s="420"/>
      <c r="C80" s="314" t="str">
        <f>IF('0 Úvod'!$M$10="English",Slovnik!D531,Slovnik!C531)</f>
        <v>Závorář s prodejem jízdenek</v>
      </c>
      <c r="D80" s="406"/>
      <c r="E80" s="402"/>
      <c r="F80" s="317">
        <v>97</v>
      </c>
      <c r="G80" s="317"/>
      <c r="H80" s="317"/>
      <c r="I80" s="317"/>
      <c r="J80" s="317">
        <v>3</v>
      </c>
      <c r="K80" s="318"/>
      <c r="L80" s="330">
        <f t="shared" si="4"/>
        <v>0.59158999999999995</v>
      </c>
    </row>
    <row r="81" spans="2:12" ht="14.25" x14ac:dyDescent="0.3">
      <c r="B81" s="420"/>
      <c r="C81" s="314" t="str">
        <f>IF('0 Úvod'!$M$10="English",Slovnik!D532,Slovnik!C532)</f>
        <v>Hradlař-hláskař</v>
      </c>
      <c r="D81" s="406"/>
      <c r="E81" s="402"/>
      <c r="F81" s="317">
        <v>97</v>
      </c>
      <c r="G81" s="317"/>
      <c r="H81" s="317"/>
      <c r="I81" s="317"/>
      <c r="J81" s="317">
        <v>3</v>
      </c>
      <c r="K81" s="318"/>
      <c r="L81" s="330">
        <f t="shared" si="4"/>
        <v>0.59158999999999995</v>
      </c>
    </row>
    <row r="82" spans="2:12" ht="14.25" x14ac:dyDescent="0.3">
      <c r="B82" s="420"/>
      <c r="C82" s="314" t="str">
        <f>IF('0 Úvod'!$M$10="English",Slovnik!D533,Slovnik!C533)</f>
        <v>Hradlař-hláskař s prodejem jízdenek</v>
      </c>
      <c r="D82" s="406"/>
      <c r="E82" s="402"/>
      <c r="F82" s="317">
        <v>97</v>
      </c>
      <c r="G82" s="317"/>
      <c r="H82" s="317"/>
      <c r="I82" s="317"/>
      <c r="J82" s="317">
        <v>3</v>
      </c>
      <c r="K82" s="318"/>
      <c r="L82" s="330">
        <f t="shared" si="4"/>
        <v>0.59158999999999995</v>
      </c>
    </row>
    <row r="83" spans="2:12" ht="15" thickBot="1" x14ac:dyDescent="0.35">
      <c r="B83" s="420"/>
      <c r="C83" s="314" t="str">
        <f>IF('0 Úvod'!$M$10="English",Slovnik!D534,Slovnik!C534)</f>
        <v>Dělník v dopravě - staniční dělník</v>
      </c>
      <c r="D83" s="406"/>
      <c r="E83" s="402"/>
      <c r="F83" s="317">
        <v>97</v>
      </c>
      <c r="G83" s="317"/>
      <c r="H83" s="317"/>
      <c r="I83" s="317"/>
      <c r="J83" s="317">
        <v>3</v>
      </c>
      <c r="K83" s="318"/>
      <c r="L83" s="330">
        <f t="shared" si="4"/>
        <v>0.59158999999999995</v>
      </c>
    </row>
    <row r="84" spans="2:12" ht="13.5" customHeight="1" thickBot="1" x14ac:dyDescent="0.3">
      <c r="B84" s="2220" t="str">
        <f>IF('0 Úvod'!$M$10="English",Slovnik!$D$535,Slovnik!$C$535)</f>
        <v>provozní NÁKLADY VLAKŮ</v>
      </c>
      <c r="C84" s="2221"/>
      <c r="D84" s="2221"/>
      <c r="E84" s="2221"/>
      <c r="F84" s="2221"/>
      <c r="G84" s="2221"/>
      <c r="H84" s="2221"/>
      <c r="I84" s="2221"/>
      <c r="J84" s="2221"/>
      <c r="K84" s="2221"/>
      <c r="L84" s="2222"/>
    </row>
    <row r="85" spans="2:12" ht="14.25" x14ac:dyDescent="0.3">
      <c r="B85" s="420"/>
      <c r="C85" s="314" t="str">
        <f>IF('0 Úvod'!$M$10="English",Slovnik!D536,Slovnik!C536)</f>
        <v>Náklady na pořízení vozidel</v>
      </c>
      <c r="D85" s="405"/>
      <c r="E85" s="402">
        <v>15</v>
      </c>
      <c r="F85" s="317">
        <v>5</v>
      </c>
      <c r="G85" s="317">
        <v>15</v>
      </c>
      <c r="H85" s="317"/>
      <c r="I85" s="317">
        <v>65</v>
      </c>
      <c r="J85" s="317"/>
      <c r="K85" s="318"/>
      <c r="L85" s="330">
        <f t="shared" ref="L85:L90" si="5">E85/100*$E$115+F85/100*$E$116+G85/100*$E$117+H85/100*$E$118+I85/100*$E$119+J85/100*$E$120+K85/100*$E$121</f>
        <v>0.90610000000000002</v>
      </c>
    </row>
    <row r="86" spans="2:12" ht="14.25" x14ac:dyDescent="0.3">
      <c r="B86" s="420"/>
      <c r="C86" s="314" t="str">
        <f>IF('0 Úvod'!$M$10="English",Slovnik!D537,Slovnik!C537)</f>
        <v>Náklady na údržbu a opravy vozidel</v>
      </c>
      <c r="D86" s="406"/>
      <c r="E86" s="402">
        <v>35</v>
      </c>
      <c r="F86" s="317">
        <v>30</v>
      </c>
      <c r="G86" s="317">
        <v>25</v>
      </c>
      <c r="H86" s="317"/>
      <c r="I86" s="317">
        <v>10</v>
      </c>
      <c r="J86" s="317"/>
      <c r="K86" s="318"/>
      <c r="L86" s="330">
        <f t="shared" si="5"/>
        <v>0.73354999999999992</v>
      </c>
    </row>
    <row r="87" spans="2:12" ht="14.25" x14ac:dyDescent="0.3">
      <c r="B87" s="420"/>
      <c r="C87" s="314" t="str">
        <f>IF('0 Úvod'!$M$10="English",Slovnik!D538,Slovnik!C538)</f>
        <v>Náklady na energii</v>
      </c>
      <c r="D87" s="406"/>
      <c r="E87" s="402"/>
      <c r="F87" s="317"/>
      <c r="G87" s="317"/>
      <c r="H87" s="317"/>
      <c r="I87" s="317"/>
      <c r="J87" s="317">
        <v>100</v>
      </c>
      <c r="K87" s="318"/>
      <c r="L87" s="330">
        <f t="shared" si="5"/>
        <v>0.83700000000000008</v>
      </c>
    </row>
    <row r="88" spans="2:12" ht="14.25" x14ac:dyDescent="0.3">
      <c r="B88" s="420"/>
      <c r="C88" s="314" t="str">
        <f>IF('0 Úvod'!$M$10="English",Slovnik!D539,Slovnik!C539)</f>
        <v>Náklady na mzdy</v>
      </c>
      <c r="D88" s="406"/>
      <c r="E88" s="402">
        <v>70</v>
      </c>
      <c r="F88" s="317">
        <v>30</v>
      </c>
      <c r="G88" s="317"/>
      <c r="H88" s="317"/>
      <c r="I88" s="317"/>
      <c r="J88" s="317"/>
      <c r="K88" s="318"/>
      <c r="L88" s="330">
        <f t="shared" si="5"/>
        <v>0.60570000000000002</v>
      </c>
    </row>
    <row r="89" spans="2:12" ht="14.25" x14ac:dyDescent="0.3">
      <c r="B89" s="420"/>
      <c r="C89" s="314" t="str">
        <f>IF('0 Úvod'!$M$10="English",Slovnik!D540,Slovnik!C540)</f>
        <v>Náklady na správu a režii</v>
      </c>
      <c r="D89" s="406"/>
      <c r="E89" s="402">
        <v>40</v>
      </c>
      <c r="F89" s="317">
        <v>40</v>
      </c>
      <c r="G89" s="317">
        <v>10</v>
      </c>
      <c r="H89" s="317"/>
      <c r="I89" s="317"/>
      <c r="J89" s="317">
        <v>10</v>
      </c>
      <c r="K89" s="318"/>
      <c r="L89" s="330">
        <f t="shared" si="5"/>
        <v>0.6613</v>
      </c>
    </row>
    <row r="90" spans="2:12" ht="15" thickBot="1" x14ac:dyDescent="0.35">
      <c r="B90" s="420"/>
      <c r="C90" s="314" t="str">
        <f>IF('0 Úvod'!$M$10="English",Slovnik!D541,Slovnik!C541)</f>
        <v>Jiné neuvedené náklady</v>
      </c>
      <c r="D90" s="406"/>
      <c r="E90" s="402">
        <v>40</v>
      </c>
      <c r="F90" s="317">
        <v>40</v>
      </c>
      <c r="G90" s="317">
        <v>10</v>
      </c>
      <c r="H90" s="317"/>
      <c r="I90" s="317"/>
      <c r="J90" s="317">
        <v>10</v>
      </c>
      <c r="K90" s="318"/>
      <c r="L90" s="330">
        <f t="shared" si="5"/>
        <v>0.6613</v>
      </c>
    </row>
    <row r="91" spans="2:12" ht="13.5" customHeight="1" thickBot="1" x14ac:dyDescent="0.3">
      <c r="B91" s="2184" t="str">
        <f>B23</f>
        <v>SILNIČNÍ INFRASTRUKTURA</v>
      </c>
      <c r="C91" s="2185"/>
      <c r="D91" s="2185"/>
      <c r="E91" s="2185"/>
      <c r="F91" s="2185"/>
      <c r="G91" s="2185"/>
      <c r="H91" s="2185"/>
      <c r="I91" s="2185"/>
      <c r="J91" s="2185"/>
      <c r="K91" s="2185"/>
      <c r="L91" s="2186"/>
    </row>
    <row r="92" spans="2:12" ht="13.5" customHeight="1" thickBot="1" x14ac:dyDescent="0.3">
      <c r="B92" s="2220" t="str">
        <f>B58</f>
        <v>provozuschopnost - OPRAVY A ÚDRŽBA</v>
      </c>
      <c r="C92" s="2221"/>
      <c r="D92" s="2221"/>
      <c r="E92" s="2221"/>
      <c r="F92" s="2221"/>
      <c r="G92" s="2221"/>
      <c r="H92" s="2221"/>
      <c r="I92" s="2221"/>
      <c r="J92" s="2221"/>
      <c r="K92" s="2221"/>
      <c r="L92" s="2222"/>
    </row>
    <row r="93" spans="2:12" ht="13.5" customHeight="1" x14ac:dyDescent="0.3">
      <c r="B93" s="418"/>
      <c r="C93" s="416" t="str">
        <f>IF('0 Úvod'!$M$10="English",Slovnik!D542,Slovnik!C542)</f>
        <v>Silnice</v>
      </c>
      <c r="D93" s="405"/>
      <c r="E93" s="417"/>
      <c r="F93" s="324">
        <v>40</v>
      </c>
      <c r="G93" s="324"/>
      <c r="H93" s="324">
        <v>50</v>
      </c>
      <c r="I93" s="324"/>
      <c r="J93" s="324">
        <v>10</v>
      </c>
      <c r="K93" s="325"/>
      <c r="L93" s="329">
        <f>E93/100*$E$115+F93/100*$E$116+G93/100*$E$117+H93/100*$E$118+I93/100*$E$119+J93/100*$E$120+K93/100*$E$121</f>
        <v>0.80679999999999996</v>
      </c>
    </row>
    <row r="94" spans="2:12" ht="13.5" customHeight="1" x14ac:dyDescent="0.3">
      <c r="B94" s="419"/>
      <c r="C94" s="314" t="str">
        <f>IF('0 Úvod'!$M$10="English",Slovnik!D543,Slovnik!C543)</f>
        <v>Dálnice</v>
      </c>
      <c r="D94" s="406"/>
      <c r="E94" s="402"/>
      <c r="F94" s="317">
        <v>40</v>
      </c>
      <c r="G94" s="317"/>
      <c r="H94" s="317">
        <v>50</v>
      </c>
      <c r="I94" s="317"/>
      <c r="J94" s="317">
        <v>10</v>
      </c>
      <c r="K94" s="318"/>
      <c r="L94" s="330">
        <f>E94/100*$E$115+F94/100*$E$116+G94/100*$E$117+H94/100*$E$118+I94/100*$E$119+J94/100*$E$120+K94/100*$E$121</f>
        <v>0.80679999999999996</v>
      </c>
    </row>
    <row r="95" spans="2:12" ht="13.5" customHeight="1" thickBot="1" x14ac:dyDescent="0.35">
      <c r="B95" s="419"/>
      <c r="C95" s="314" t="str">
        <f>IF('0 Úvod'!$M$10="English",Slovnik!D544,Slovnik!C544)</f>
        <v>Tunely</v>
      </c>
      <c r="D95" s="406"/>
      <c r="E95" s="402"/>
      <c r="F95" s="317">
        <v>40</v>
      </c>
      <c r="G95" s="317">
        <v>5</v>
      </c>
      <c r="H95" s="317">
        <v>45</v>
      </c>
      <c r="I95" s="317"/>
      <c r="J95" s="317">
        <v>10</v>
      </c>
      <c r="K95" s="318"/>
      <c r="L95" s="330">
        <f>E95/100*$E$115+F95/100*$E$116+G95/100*$E$117+H95/100*$E$118+I95/100*$E$119+J95/100*$E$120+K95/100*$E$121</f>
        <v>0.80684999999999996</v>
      </c>
    </row>
    <row r="96" spans="2:12" ht="13.5" customHeight="1" thickBot="1" x14ac:dyDescent="0.3">
      <c r="B96" s="2220" t="str">
        <f>B64</f>
        <v>provozuschopnost - REINVESTICE</v>
      </c>
      <c r="C96" s="2221"/>
      <c r="D96" s="2221"/>
      <c r="E96" s="2221"/>
      <c r="F96" s="2221"/>
      <c r="G96" s="2221"/>
      <c r="H96" s="2221"/>
      <c r="I96" s="2221"/>
      <c r="J96" s="2221"/>
      <c r="K96" s="2221"/>
      <c r="L96" s="2222"/>
    </row>
    <row r="97" spans="2:12" ht="13.5" customHeight="1" x14ac:dyDescent="0.3">
      <c r="B97" s="419"/>
      <c r="C97" s="314" t="str">
        <f>C93</f>
        <v>Silnice</v>
      </c>
      <c r="D97" s="405"/>
      <c r="E97" s="402"/>
      <c r="F97" s="317">
        <v>30</v>
      </c>
      <c r="G97" s="317"/>
      <c r="H97" s="317">
        <v>60</v>
      </c>
      <c r="I97" s="317"/>
      <c r="J97" s="317">
        <v>10</v>
      </c>
      <c r="K97" s="318"/>
      <c r="L97" s="330">
        <f>E97/100*$E$115+F97/100*$E$116+G97/100*$E$117+H97/100*$E$118+I97/100*$E$119+J97/100*$E$120+K97/100*$E$121</f>
        <v>0.84629999999999994</v>
      </c>
    </row>
    <row r="98" spans="2:12" ht="13.5" customHeight="1" x14ac:dyDescent="0.3">
      <c r="B98" s="419"/>
      <c r="C98" s="314" t="str">
        <f t="shared" ref="C98:C99" si="6">C94</f>
        <v>Dálnice</v>
      </c>
      <c r="D98" s="406"/>
      <c r="E98" s="402"/>
      <c r="F98" s="317">
        <v>30</v>
      </c>
      <c r="G98" s="317"/>
      <c r="H98" s="317">
        <v>60</v>
      </c>
      <c r="I98" s="317"/>
      <c r="J98" s="317">
        <v>10</v>
      </c>
      <c r="K98" s="318"/>
      <c r="L98" s="330">
        <f>E98/100*$E$115+F98/100*$E$116+G98/100*$E$117+H98/100*$E$118+I98/100*$E$119+J98/100*$E$120+K98/100*$E$121</f>
        <v>0.84629999999999994</v>
      </c>
    </row>
    <row r="99" spans="2:12" ht="13.5" customHeight="1" thickBot="1" x14ac:dyDescent="0.35">
      <c r="B99" s="419"/>
      <c r="C99" s="314" t="str">
        <f t="shared" si="6"/>
        <v>Tunely</v>
      </c>
      <c r="D99" s="406"/>
      <c r="E99" s="402"/>
      <c r="F99" s="317">
        <v>30</v>
      </c>
      <c r="G99" s="317">
        <v>5</v>
      </c>
      <c r="H99" s="317">
        <v>55</v>
      </c>
      <c r="I99" s="317"/>
      <c r="J99" s="317">
        <v>10</v>
      </c>
      <c r="K99" s="318"/>
      <c r="L99" s="330">
        <f>E99/100*$E$115+F99/100*$E$116+G99/100*$E$117+H99/100*$E$118+I99/100*$E$119+J99/100*$E$120+K99/100*$E$121</f>
        <v>0.84635000000000005</v>
      </c>
    </row>
    <row r="100" spans="2:12" ht="13.5" customHeight="1" thickBot="1" x14ac:dyDescent="0.3">
      <c r="B100" s="2184" t="str">
        <f>B36</f>
        <v>VODNÍ INFRASTRUKTURA</v>
      </c>
      <c r="C100" s="2185"/>
      <c r="D100" s="2185"/>
      <c r="E100" s="2185"/>
      <c r="F100" s="2185"/>
      <c r="G100" s="2185"/>
      <c r="H100" s="2185"/>
      <c r="I100" s="2185"/>
      <c r="J100" s="2185"/>
      <c r="K100" s="2185"/>
      <c r="L100" s="2186"/>
    </row>
    <row r="101" spans="2:12" ht="13.5" customHeight="1" thickBot="1" x14ac:dyDescent="0.3">
      <c r="B101" s="2220" t="str">
        <f>B92</f>
        <v>provozuschopnost - OPRAVY A ÚDRŽBA</v>
      </c>
      <c r="C101" s="2221"/>
      <c r="D101" s="2221"/>
      <c r="E101" s="2221"/>
      <c r="F101" s="2221"/>
      <c r="G101" s="2221"/>
      <c r="H101" s="2221"/>
      <c r="I101" s="2221"/>
      <c r="J101" s="2221"/>
      <c r="K101" s="2221"/>
      <c r="L101" s="2222"/>
    </row>
    <row r="102" spans="2:12" ht="15" thickBot="1" x14ac:dyDescent="0.35">
      <c r="B102" s="418"/>
      <c r="C102" s="416" t="str">
        <f>IF('0 Úvod'!$M$10="English",Slovnik!$D$545,Slovnik!$C$545)</f>
        <v>Vodní cesta</v>
      </c>
      <c r="D102" s="405"/>
      <c r="E102" s="417">
        <v>20</v>
      </c>
      <c r="F102" s="324">
        <v>25</v>
      </c>
      <c r="G102" s="324"/>
      <c r="H102" s="324">
        <v>25</v>
      </c>
      <c r="I102" s="324"/>
      <c r="J102" s="324">
        <v>30</v>
      </c>
      <c r="K102" s="325"/>
      <c r="L102" s="329">
        <f>E102/100*$E$115+F102/100*$E$116+G102/100*$E$117+H102/100*$E$118+I102/100*$E$119+J102/100*$E$120+K102/100*$E$121</f>
        <v>0.76485000000000003</v>
      </c>
    </row>
    <row r="103" spans="2:12" ht="13.5" customHeight="1" thickBot="1" x14ac:dyDescent="0.3">
      <c r="B103" s="2220" t="str">
        <f>B96</f>
        <v>provozuschopnost - REINVESTICE</v>
      </c>
      <c r="C103" s="2221"/>
      <c r="D103" s="2221"/>
      <c r="E103" s="2221"/>
      <c r="F103" s="2221"/>
      <c r="G103" s="2221"/>
      <c r="H103" s="2221"/>
      <c r="I103" s="2221"/>
      <c r="J103" s="2221"/>
      <c r="K103" s="2221"/>
      <c r="L103" s="2222"/>
    </row>
    <row r="104" spans="2:12" ht="13.5" customHeight="1" thickBot="1" x14ac:dyDescent="0.35">
      <c r="B104" s="419"/>
      <c r="C104" s="314" t="str">
        <f>IF('0 Úvod'!$M$10="English",Slovnik!$D$546,Slovnik!$C$546)</f>
        <v>Zdymadla</v>
      </c>
      <c r="D104" s="405"/>
      <c r="E104" s="402">
        <v>10</v>
      </c>
      <c r="F104" s="317">
        <v>15</v>
      </c>
      <c r="G104" s="317">
        <v>5</v>
      </c>
      <c r="H104" s="317">
        <v>45</v>
      </c>
      <c r="I104" s="317">
        <v>15</v>
      </c>
      <c r="J104" s="317">
        <v>10</v>
      </c>
      <c r="K104" s="318"/>
      <c r="L104" s="330">
        <f>E104/100*$E$115+F104/100*$E$116+G104/100*$E$117+H104/100*$E$118+I104/100*$E$119+J104/100*$E$120+K104/100*$E$121</f>
        <v>0.86949999999999994</v>
      </c>
    </row>
    <row r="105" spans="2:12" ht="13.5" customHeight="1" thickBot="1" x14ac:dyDescent="0.3">
      <c r="B105" s="2220" t="str">
        <f>IF('0 Úvod'!$M$10="English",Slovnik!$D$547,Slovnik!$C$547)</f>
        <v>provozní NÁKLADY VLAKŮ</v>
      </c>
      <c r="C105" s="2221"/>
      <c r="D105" s="2221"/>
      <c r="E105" s="2221"/>
      <c r="F105" s="2221"/>
      <c r="G105" s="2221"/>
      <c r="H105" s="2221"/>
      <c r="I105" s="2221"/>
      <c r="J105" s="2221"/>
      <c r="K105" s="2221"/>
      <c r="L105" s="2222"/>
    </row>
    <row r="106" spans="2:12" ht="14.25" x14ac:dyDescent="0.3">
      <c r="B106" s="421"/>
      <c r="C106" s="416" t="str">
        <f>IF('0 Úvod'!$M$10="English",Slovnik!D548,Slovnik!C548)</f>
        <v>Náklady na pořízení plavidel</v>
      </c>
      <c r="D106" s="405"/>
      <c r="E106" s="417">
        <v>10</v>
      </c>
      <c r="F106" s="324">
        <v>5</v>
      </c>
      <c r="G106" s="324">
        <v>15</v>
      </c>
      <c r="H106" s="324"/>
      <c r="I106" s="324">
        <v>70</v>
      </c>
      <c r="J106" s="324"/>
      <c r="K106" s="325"/>
      <c r="L106" s="329">
        <f>E106/100*$E$115+F106/100*$E$116+G106/100*$E$117+H106/100*$E$118+I106/100*$E$119+J106/100*$E$120+K106/100*$E$121</f>
        <v>0.9244</v>
      </c>
    </row>
    <row r="107" spans="2:12" ht="14.25" x14ac:dyDescent="0.3">
      <c r="B107" s="420"/>
      <c r="C107" s="314" t="str">
        <f>IF('0 Úvod'!$M$10="English",Slovnik!D549,Slovnik!C549)</f>
        <v>Náklady na údržbu a opravy plavidel</v>
      </c>
      <c r="D107" s="406"/>
      <c r="E107" s="402">
        <v>40</v>
      </c>
      <c r="F107" s="317">
        <v>35</v>
      </c>
      <c r="G107" s="317">
        <v>15</v>
      </c>
      <c r="H107" s="317"/>
      <c r="I107" s="317">
        <v>10</v>
      </c>
      <c r="J107" s="317"/>
      <c r="K107" s="318"/>
      <c r="L107" s="330">
        <f>E107/100*$E$115+F107/100*$E$116+G107/100*$E$117+H107/100*$E$118+I107/100*$E$119+J107/100*$E$120+K107/100*$E$121</f>
        <v>0.6954999999999999</v>
      </c>
    </row>
    <row r="108" spans="2:12" ht="14.25" x14ac:dyDescent="0.3">
      <c r="B108" s="420"/>
      <c r="C108" s="314" t="str">
        <f>IF('0 Úvod'!$M$10="English",Slovnik!D550,Slovnik!C550)</f>
        <v>Náklady na energii</v>
      </c>
      <c r="D108" s="406"/>
      <c r="E108" s="402"/>
      <c r="F108" s="317"/>
      <c r="G108" s="317"/>
      <c r="H108" s="317"/>
      <c r="I108" s="317"/>
      <c r="J108" s="317">
        <v>100</v>
      </c>
      <c r="K108" s="318"/>
      <c r="L108" s="330">
        <f>E108/100*$E$115+F108/100*$E$116+G108/100*$E$117+H108/100*$E$118+I108/100*$E$119+J108/100*$E$120+K108/100*$E$121</f>
        <v>0.83700000000000008</v>
      </c>
    </row>
    <row r="109" spans="2:12" ht="14.25" x14ac:dyDescent="0.3">
      <c r="B109" s="420"/>
      <c r="C109" s="314" t="str">
        <f>IF('0 Úvod'!$M$10="English",Slovnik!D551,Slovnik!C551)</f>
        <v>Náklady na mzdy</v>
      </c>
      <c r="D109" s="406"/>
      <c r="E109" s="402">
        <v>70</v>
      </c>
      <c r="F109" s="317">
        <v>30</v>
      </c>
      <c r="G109" s="317"/>
      <c r="H109" s="317"/>
      <c r="I109" s="317"/>
      <c r="J109" s="317"/>
      <c r="K109" s="318"/>
      <c r="L109" s="330">
        <f>E109/100*$E$115+F109/100*$E$116+G109/100*$E$117+H109/100*$E$118+I109/100*$E$119+J109/100*$E$120+K109/100*$E$121</f>
        <v>0.60570000000000002</v>
      </c>
    </row>
    <row r="110" spans="2:12" ht="15" thickBot="1" x14ac:dyDescent="0.35">
      <c r="B110" s="422"/>
      <c r="C110" s="411" t="str">
        <f>IF('0 Úvod'!$M$10="English",Slovnik!D552,Slovnik!C552)</f>
        <v>Náklady na správu a režii</v>
      </c>
      <c r="D110" s="408"/>
      <c r="E110" s="412">
        <v>40</v>
      </c>
      <c r="F110" s="413">
        <v>40</v>
      </c>
      <c r="G110" s="413">
        <v>10</v>
      </c>
      <c r="H110" s="413"/>
      <c r="I110" s="413"/>
      <c r="J110" s="413">
        <v>10</v>
      </c>
      <c r="K110" s="414"/>
      <c r="L110" s="415">
        <f>E110/100*$E$115+F110/100*$E$116+G110/100*$E$117+H110/100*$E$118+I110/100*$E$119+J110/100*$E$120+K110/100*$E$121</f>
        <v>0.6613</v>
      </c>
    </row>
    <row r="111" spans="2:12" x14ac:dyDescent="0.25">
      <c r="F111" s="18"/>
      <c r="G111" s="18"/>
      <c r="H111" s="18"/>
      <c r="I111" s="18"/>
      <c r="J111" s="18"/>
      <c r="K111" s="18"/>
      <c r="L111" s="18"/>
    </row>
    <row r="112" spans="2:12" ht="14.25" thickBot="1" x14ac:dyDescent="0.3">
      <c r="F112" s="18"/>
      <c r="G112" s="18"/>
      <c r="H112" s="18"/>
      <c r="I112" s="18"/>
      <c r="J112" s="18"/>
      <c r="K112" s="18"/>
      <c r="L112" s="18"/>
    </row>
    <row r="113" spans="2:12" ht="14.25" thickBot="1" x14ac:dyDescent="0.3">
      <c r="B113" s="2214" t="str">
        <f>IF('0 Úvod'!$M$10="English",Slovnik!$D$553,Slovnik!$C$553)</f>
        <v>ZÁKLADNÍ HODNOTY KF JEDNOTLIVÝCH NÁKLADOVÝCH SLOŽEK</v>
      </c>
      <c r="C113" s="2215"/>
      <c r="D113" s="2215"/>
      <c r="E113" s="2216"/>
      <c r="F113" s="18"/>
      <c r="G113" s="18"/>
      <c r="H113" s="18"/>
      <c r="I113" s="18"/>
      <c r="J113" s="18"/>
      <c r="K113" s="18"/>
      <c r="L113" s="18"/>
    </row>
    <row r="114" spans="2:12" ht="15.75" customHeight="1" thickBot="1" x14ac:dyDescent="0.3">
      <c r="B114" s="2217" t="str">
        <f>IF('0 Úvod'!$M$10="English",Slovnik!D554,Slovnik!C554)</f>
        <v>nákladová složka</v>
      </c>
      <c r="C114" s="2218"/>
      <c r="D114" s="2219"/>
      <c r="E114" s="332" t="str">
        <f>IF('0 Úvod'!$M$10="English",Slovnik!$D$567,Slovnik!$C$567)</f>
        <v>KF</v>
      </c>
      <c r="F114" s="18"/>
      <c r="G114" s="18"/>
      <c r="H114" s="18"/>
      <c r="I114" s="18"/>
      <c r="J114" s="18"/>
      <c r="K114" s="18"/>
      <c r="L114" s="18"/>
    </row>
    <row r="115" spans="2:12" x14ac:dyDescent="0.25">
      <c r="B115" s="333" t="str">
        <f>IF('0 Úvod'!$M$10="English",Slovnik!D555,Slovnik!C555)</f>
        <v>PRÁCE - kvalifikovaná</v>
      </c>
      <c r="C115" s="334"/>
      <c r="D115" s="335"/>
      <c r="E115" s="336">
        <v>0.61499999999999999</v>
      </c>
      <c r="F115" s="18"/>
      <c r="G115" s="18"/>
      <c r="H115" s="18"/>
      <c r="I115" s="18"/>
      <c r="J115" s="18"/>
      <c r="K115" s="18"/>
      <c r="L115" s="18"/>
    </row>
    <row r="116" spans="2:12" x14ac:dyDescent="0.25">
      <c r="B116" s="337" t="str">
        <f>IF('0 Úvod'!$M$10="English",Slovnik!D556,Slovnik!C556)</f>
        <v>PRÁCE - nekvalifikovaná</v>
      </c>
      <c r="C116" s="338"/>
      <c r="D116" s="339"/>
      <c r="E116" s="340">
        <v>0.58399999999999996</v>
      </c>
      <c r="F116" s="18"/>
      <c r="G116" s="18"/>
      <c r="H116" s="18"/>
      <c r="I116" s="18"/>
      <c r="J116" s="18"/>
      <c r="K116" s="18"/>
      <c r="L116" s="18"/>
    </row>
    <row r="117" spans="2:12" x14ac:dyDescent="0.25">
      <c r="B117" s="337" t="str">
        <f>IF('0 Úvod'!$M$10="English",Slovnik!D557,Slovnik!C557)</f>
        <v>MATERIÁL - informační technologie</v>
      </c>
      <c r="C117" s="338"/>
      <c r="D117" s="339"/>
      <c r="E117" s="340">
        <v>0.98</v>
      </c>
      <c r="F117" s="18"/>
      <c r="G117" s="18"/>
      <c r="H117" s="18"/>
      <c r="I117" s="18"/>
      <c r="J117" s="18"/>
      <c r="K117" s="18"/>
      <c r="L117" s="18"/>
    </row>
    <row r="118" spans="2:12" x14ac:dyDescent="0.25">
      <c r="B118" s="337" t="str">
        <f>IF('0 Úvod'!$M$10="English",Slovnik!D558,Slovnik!C558)</f>
        <v>MATERIÁL - stavební sypké hmoty (vč. betonu)</v>
      </c>
      <c r="C118" s="338"/>
      <c r="D118" s="339"/>
      <c r="E118" s="340">
        <v>0.97899999999999998</v>
      </c>
      <c r="F118" s="18"/>
      <c r="G118" s="18"/>
      <c r="H118" s="18"/>
      <c r="I118" s="18"/>
      <c r="J118" s="18"/>
      <c r="K118" s="18"/>
      <c r="L118" s="18"/>
    </row>
    <row r="119" spans="2:12" x14ac:dyDescent="0.25">
      <c r="B119" s="337" t="str">
        <f>IF('0 Úvod'!$M$10="English",Slovnik!D559,Slovnik!C559)</f>
        <v>MATERIÁL - konstrukce</v>
      </c>
      <c r="C119" s="338"/>
      <c r="D119" s="339"/>
      <c r="E119" s="340">
        <v>0.98099999999999998</v>
      </c>
      <c r="F119" s="18"/>
      <c r="G119" s="18"/>
      <c r="H119" s="18"/>
      <c r="I119" s="18"/>
      <c r="J119" s="18"/>
      <c r="K119" s="18"/>
      <c r="L119" s="18"/>
    </row>
    <row r="120" spans="2:12" x14ac:dyDescent="0.25">
      <c r="B120" s="337" t="str">
        <f>IF('0 Úvod'!$M$10="English",Slovnik!D560,Slovnik!C560)</f>
        <v>ENERGIE A POHONNÉ HMOTY</v>
      </c>
      <c r="C120" s="338"/>
      <c r="D120" s="339"/>
      <c r="E120" s="340">
        <v>0.83700000000000008</v>
      </c>
      <c r="F120" s="18"/>
      <c r="G120" s="18"/>
      <c r="H120" s="18"/>
      <c r="I120" s="18"/>
      <c r="J120" s="18"/>
      <c r="K120" s="18"/>
      <c r="L120" s="18"/>
    </row>
    <row r="121" spans="2:12" x14ac:dyDescent="0.25">
      <c r="B121" s="337" t="str">
        <f>IF('0 Úvod'!$M$10="English",Slovnik!D561,Slovnik!C561)</f>
        <v>POZEMKY</v>
      </c>
      <c r="C121" s="338"/>
      <c r="D121" s="339"/>
      <c r="E121" s="340">
        <v>0.16222826086956521</v>
      </c>
      <c r="F121" s="18"/>
      <c r="G121" s="18"/>
      <c r="H121" s="18"/>
      <c r="I121" s="18"/>
      <c r="J121" s="18"/>
      <c r="K121" s="18"/>
      <c r="L121" s="18"/>
    </row>
    <row r="122" spans="2:12" ht="14.25" thickBot="1" x14ac:dyDescent="0.3">
      <c r="B122" s="341" t="str">
        <f>IF('0 Úvod'!$M$10="English",Slovnik!D562,Slovnik!C562)</f>
        <v>Ostatní (SKF)</v>
      </c>
      <c r="C122" s="342"/>
      <c r="D122" s="343"/>
      <c r="E122" s="344">
        <v>0.998</v>
      </c>
      <c r="F122" s="18"/>
      <c r="G122" s="18"/>
      <c r="H122" s="18"/>
      <c r="I122" s="18"/>
      <c r="J122" s="18"/>
      <c r="K122" s="18"/>
      <c r="L122" s="18"/>
    </row>
    <row r="123" spans="2:12" x14ac:dyDescent="0.25">
      <c r="B123" s="2206" t="str">
        <f>IF('0 Úvod'!$M$10="English",Slovnik!$D$563,Slovnik!$C$563)</f>
        <v>Zisková MARŽE</v>
      </c>
      <c r="C123" s="2207"/>
      <c r="D123" s="345" t="str">
        <f>IF('0 Úvod'!$M$10="English",Slovnik!D564,Slovnik!C564)</f>
        <v>stavební práce (IN)</v>
      </c>
      <c r="E123" s="346">
        <v>0.06</v>
      </c>
      <c r="F123" s="18"/>
      <c r="G123" s="18"/>
      <c r="H123" s="18"/>
      <c r="I123" s="18"/>
      <c r="J123" s="18"/>
      <c r="K123" s="18"/>
      <c r="L123" s="18"/>
    </row>
    <row r="124" spans="2:12" x14ac:dyDescent="0.25">
      <c r="B124" s="2208"/>
      <c r="C124" s="2209"/>
      <c r="D124" s="347" t="str">
        <f>IF('0 Úvod'!$M$10="English",Slovnik!D565,Slovnik!C565)</f>
        <v>informační technologie</v>
      </c>
      <c r="E124" s="346">
        <v>0.05</v>
      </c>
      <c r="F124" s="18"/>
      <c r="G124" s="18"/>
      <c r="H124" s="18"/>
      <c r="I124" s="18"/>
      <c r="J124" s="18"/>
      <c r="K124" s="18"/>
      <c r="L124" s="18"/>
    </row>
    <row r="125" spans="2:12" ht="14.25" thickBot="1" x14ac:dyDescent="0.3">
      <c r="B125" s="2210"/>
      <c r="C125" s="2211"/>
      <c r="D125" s="348" t="str">
        <f>IF('0 Úvod'!$M$10="English",Slovnik!D566,Slovnik!C566)</f>
        <v>údržbové práce</v>
      </c>
      <c r="E125" s="349">
        <v>0.02</v>
      </c>
      <c r="F125" s="18"/>
      <c r="G125" s="18"/>
      <c r="H125" s="18"/>
      <c r="I125" s="18"/>
      <c r="J125" s="18"/>
      <c r="K125" s="18"/>
      <c r="L125" s="18"/>
    </row>
    <row r="126" spans="2:12" x14ac:dyDescent="0.25">
      <c r="F126" s="18"/>
      <c r="G126" s="18"/>
      <c r="H126" s="18"/>
      <c r="I126" s="18"/>
      <c r="J126" s="18"/>
      <c r="K126" s="18"/>
      <c r="L126" s="18"/>
    </row>
    <row r="127" spans="2:12" ht="14.25" thickBot="1" x14ac:dyDescent="0.3">
      <c r="F127" s="18"/>
      <c r="G127" s="18"/>
      <c r="H127" s="18"/>
      <c r="I127" s="18"/>
      <c r="J127" s="18"/>
      <c r="K127" s="18"/>
      <c r="L127" s="18"/>
    </row>
    <row r="128" spans="2:12" ht="13.5" customHeight="1" x14ac:dyDescent="0.25">
      <c r="B128" s="2202" t="s">
        <v>58</v>
      </c>
      <c r="C128" s="2197" t="str">
        <f>IF('0 Úvod'!$M$10="English",Slovnik!$D$568,Slovnik!$C$568)</f>
        <v>Konverzní faktor -VÝSLEDNÁ HODNOTA</v>
      </c>
      <c r="D128" s="2223"/>
      <c r="E128" s="2224"/>
      <c r="F128" s="503"/>
      <c r="G128" s="504"/>
      <c r="H128" s="504"/>
      <c r="I128" s="504"/>
      <c r="J128" s="504"/>
      <c r="K128" s="504"/>
      <c r="L128" s="505"/>
    </row>
    <row r="129" spans="2:12" ht="13.5" customHeight="1" x14ac:dyDescent="0.25">
      <c r="B129" s="2203"/>
      <c r="C129" s="2198"/>
      <c r="D129" s="2225"/>
      <c r="E129" s="2226"/>
      <c r="F129" s="503"/>
      <c r="G129" s="504"/>
      <c r="H129" s="504"/>
      <c r="I129" s="504"/>
      <c r="J129" s="506"/>
      <c r="K129" s="506"/>
      <c r="L129" s="505"/>
    </row>
    <row r="130" spans="2:12" ht="13.5" customHeight="1" thickBot="1" x14ac:dyDescent="0.3">
      <c r="B130" s="2204"/>
      <c r="C130" s="2199"/>
      <c r="D130" s="2227"/>
      <c r="E130" s="2228"/>
      <c r="F130" s="507"/>
      <c r="G130" s="506"/>
      <c r="H130" s="506"/>
      <c r="I130" s="506"/>
      <c r="J130" s="506"/>
      <c r="K130" s="506"/>
      <c r="L130" s="505"/>
    </row>
    <row r="131" spans="2:12" ht="15.75" thickBot="1" x14ac:dyDescent="0.3">
      <c r="B131" s="326"/>
      <c r="C131" s="327" t="str">
        <f>IF('0 Úvod'!$M$10="English",Slovnik!$D$569,Slovnik!$C$569)</f>
        <v>Položka</v>
      </c>
      <c r="D131" s="328"/>
      <c r="E131" s="350" t="s">
        <v>59</v>
      </c>
      <c r="F131" s="506"/>
      <c r="G131" s="506"/>
      <c r="H131" s="506"/>
      <c r="I131" s="506"/>
      <c r="J131" s="506"/>
      <c r="K131" s="506"/>
      <c r="L131" s="508"/>
    </row>
    <row r="132" spans="2:12" x14ac:dyDescent="0.25">
      <c r="B132" s="356"/>
      <c r="C132" s="2231" t="str">
        <f>IF('0 Úvod'!$M$10="English",Slovnik!$D$570,Slovnik!$C$570)</f>
        <v>INVESTIČNÍ NÁKLADY</v>
      </c>
      <c r="D132" s="357" t="str">
        <f>IF('0 Úvod'!$M$10="English",Slovnik!D574,Slovnik!C574)</f>
        <v>železniční infrastruktura</v>
      </c>
      <c r="E132" s="351">
        <v>0.80100000000000005</v>
      </c>
      <c r="F132" s="18"/>
      <c r="G132" s="18"/>
      <c r="H132" s="18"/>
      <c r="I132" s="18"/>
      <c r="J132" s="18"/>
      <c r="K132" s="18"/>
      <c r="L132" s="18"/>
    </row>
    <row r="133" spans="2:12" x14ac:dyDescent="0.25">
      <c r="B133" s="358"/>
      <c r="C133" s="2230"/>
      <c r="D133" s="359" t="str">
        <f>IF('0 Úvod'!$M$10="English",Slovnik!D575,Slovnik!C575)</f>
        <v>silniční infrastruktura</v>
      </c>
      <c r="E133" s="352">
        <v>0.80700000000000005</v>
      </c>
      <c r="F133" s="18"/>
      <c r="G133" s="18"/>
      <c r="H133" s="18"/>
      <c r="I133" s="18"/>
      <c r="J133" s="18"/>
      <c r="K133" s="18"/>
      <c r="L133" s="18"/>
    </row>
    <row r="134" spans="2:12" x14ac:dyDescent="0.25">
      <c r="B134" s="360"/>
      <c r="C134" s="2232"/>
      <c r="D134" s="549" t="str">
        <f>IF('0 Úvod'!$M$10="English",Slovnik!D576,Slovnik!C576)</f>
        <v>vodní infrastruktura</v>
      </c>
      <c r="E134" s="353">
        <v>0.84099999999999997</v>
      </c>
      <c r="F134" s="18"/>
      <c r="G134" s="18"/>
      <c r="H134" s="18"/>
      <c r="I134" s="18"/>
      <c r="J134" s="18"/>
      <c r="K134" s="18"/>
      <c r="L134" s="18"/>
    </row>
    <row r="135" spans="2:12" x14ac:dyDescent="0.25">
      <c r="B135" s="358"/>
      <c r="C135" s="2229" t="str">
        <f>IF('0 Úvod'!$M$10="English",Slovnik!$D$571,Slovnik!$C$571)</f>
        <v>PROVOZNÍ NÁKLADY
železniční infrastruktura</v>
      </c>
      <c r="D135" s="359" t="str">
        <f>IF('0 Úvod'!$M$10="English",Slovnik!D577,Slovnik!C577)</f>
        <v>opravy a údržba</v>
      </c>
      <c r="E135" s="352">
        <v>0.79500000000000004</v>
      </c>
      <c r="F135" s="18"/>
      <c r="G135" s="18"/>
      <c r="H135" s="18"/>
      <c r="I135" s="18"/>
      <c r="J135" s="18"/>
      <c r="K135" s="18"/>
      <c r="L135" s="18"/>
    </row>
    <row r="136" spans="2:12" x14ac:dyDescent="0.25">
      <c r="B136" s="358"/>
      <c r="C136" s="2230"/>
      <c r="D136" s="359" t="str">
        <f>IF('0 Úvod'!$M$10="English",Slovnik!D578,Slovnik!C578)</f>
        <v>reinvestice</v>
      </c>
      <c r="E136" s="352">
        <v>0.85599999999999998</v>
      </c>
      <c r="F136" s="18"/>
      <c r="G136" s="18"/>
      <c r="H136" s="18"/>
      <c r="I136" s="18"/>
      <c r="J136" s="18"/>
      <c r="K136" s="18"/>
      <c r="L136" s="18"/>
    </row>
    <row r="137" spans="2:12" x14ac:dyDescent="0.25">
      <c r="B137" s="358"/>
      <c r="C137" s="2230"/>
      <c r="D137" s="359" t="str">
        <f>IF('0 Úvod'!$M$10="English",Slovnik!D579,Slovnik!C579)</f>
        <v>řízení dopravy</v>
      </c>
      <c r="E137" s="352">
        <v>0.60099999999999998</v>
      </c>
      <c r="F137" s="18"/>
      <c r="G137" s="18"/>
      <c r="H137" s="18"/>
      <c r="I137" s="18"/>
      <c r="J137" s="18"/>
      <c r="K137" s="18"/>
      <c r="L137" s="18"/>
    </row>
    <row r="138" spans="2:12" x14ac:dyDescent="0.25">
      <c r="B138" s="358"/>
      <c r="C138" s="2230"/>
      <c r="D138" s="359" t="str">
        <f>IF('0 Úvod'!$M$10="English",Slovnik!D580,Slovnik!C580)</f>
        <v>provozní náklady vlaků</v>
      </c>
      <c r="E138" s="352">
        <v>0.81200000000000006</v>
      </c>
      <c r="F138" s="18"/>
      <c r="G138" s="18"/>
      <c r="H138" s="18"/>
      <c r="I138" s="18"/>
      <c r="J138" s="18"/>
      <c r="K138" s="18"/>
      <c r="L138" s="18"/>
    </row>
    <row r="139" spans="2:12" x14ac:dyDescent="0.25">
      <c r="B139" s="361"/>
      <c r="C139" s="2233" t="str">
        <f>IF('0 Úvod'!$M$10="English",Slovnik!$D$572,Slovnik!$C$572)</f>
        <v>PROVOZNÍ NÁKLADY silniční infrastruktura</v>
      </c>
      <c r="D139" s="362" t="str">
        <f>IF('0 Úvod'!$M$10="English",Slovnik!D581,Slovnik!C581)</f>
        <v>opravy a údržba</v>
      </c>
      <c r="E139" s="354">
        <v>0.79100000000000004</v>
      </c>
      <c r="F139" s="18"/>
      <c r="G139" s="18"/>
      <c r="H139" s="18"/>
      <c r="I139" s="18"/>
      <c r="J139" s="18"/>
      <c r="K139" s="18"/>
      <c r="L139" s="18"/>
    </row>
    <row r="140" spans="2:12" x14ac:dyDescent="0.25">
      <c r="B140" s="363"/>
      <c r="C140" s="2234"/>
      <c r="D140" s="359" t="str">
        <f>IF('0 Úvod'!$M$10="English",Slovnik!D582,Slovnik!C582)</f>
        <v>reinvestice</v>
      </c>
      <c r="E140" s="352">
        <v>0.82899999999999996</v>
      </c>
      <c r="F140" s="18"/>
      <c r="G140" s="18"/>
      <c r="H140" s="18"/>
      <c r="I140" s="18"/>
      <c r="J140" s="18"/>
      <c r="K140" s="18"/>
      <c r="L140" s="18"/>
    </row>
    <row r="141" spans="2:12" x14ac:dyDescent="0.25">
      <c r="B141" s="364"/>
      <c r="C141" s="2235" t="str">
        <f>IF('0 Úvod'!$M$10="English",Slovnik!$D$573,Slovnik!$C$573)</f>
        <v>PROVOZNÍ NÁKLADY
vodní infrastruktura</v>
      </c>
      <c r="D141" s="362" t="str">
        <f>IF('0 Úvod'!$M$10="English",Slovnik!D583,Slovnik!C583)</f>
        <v>opravy a údržba</v>
      </c>
      <c r="E141" s="354">
        <v>0.75</v>
      </c>
      <c r="F141" s="18"/>
      <c r="G141" s="18"/>
      <c r="H141" s="18"/>
      <c r="I141" s="18"/>
      <c r="J141" s="18"/>
      <c r="K141" s="18"/>
      <c r="L141" s="18"/>
    </row>
    <row r="142" spans="2:12" x14ac:dyDescent="0.25">
      <c r="B142" s="358"/>
      <c r="C142" s="2234"/>
      <c r="D142" s="359" t="str">
        <f>IF('0 Úvod'!$M$10="English",Slovnik!D584,Slovnik!C584)</f>
        <v>reinvestice</v>
      </c>
      <c r="E142" s="352">
        <v>0.85199999999999998</v>
      </c>
      <c r="F142" s="18"/>
      <c r="G142" s="18"/>
      <c r="H142" s="18"/>
      <c r="I142" s="18"/>
      <c r="J142" s="18"/>
      <c r="K142" s="18"/>
      <c r="L142" s="18"/>
    </row>
    <row r="143" spans="2:12" ht="14.25" thickBot="1" x14ac:dyDescent="0.3">
      <c r="B143" s="365"/>
      <c r="C143" s="2236"/>
      <c r="D143" s="366" t="str">
        <f>IF('0 Úvod'!$M$10="English",Slovnik!D585,Slovnik!C585)</f>
        <v>provozní náklady plavidel</v>
      </c>
      <c r="E143" s="355">
        <v>0.76400000000000001</v>
      </c>
      <c r="F143" s="18"/>
      <c r="G143" s="18"/>
      <c r="H143" s="18"/>
      <c r="I143" s="18"/>
      <c r="J143" s="18"/>
      <c r="K143" s="18"/>
      <c r="L143" s="18"/>
    </row>
    <row r="144" spans="2:12" x14ac:dyDescent="0.25">
      <c r="F144" s="18"/>
      <c r="G144" s="18"/>
      <c r="H144" s="18"/>
      <c r="I144" s="18"/>
      <c r="J144" s="18"/>
      <c r="K144" s="18"/>
      <c r="L144" s="18"/>
    </row>
    <row r="145" spans="2:19" ht="14.25" thickBot="1" x14ac:dyDescent="0.3">
      <c r="F145" s="18"/>
      <c r="G145" s="18"/>
      <c r="H145" s="18"/>
      <c r="I145" s="18"/>
      <c r="J145" s="18"/>
      <c r="K145" s="18"/>
      <c r="L145" s="18"/>
    </row>
    <row r="146" spans="2:19" x14ac:dyDescent="0.25">
      <c r="B146" s="2001" t="str">
        <f>IF('0 Úvod'!$M$10="English",Slovnik!$D$586,Slovnik!C$586)</f>
        <v>Komentáře</v>
      </c>
      <c r="C146" s="2002"/>
      <c r="D146" s="2002"/>
      <c r="E146" s="2002"/>
      <c r="F146" s="2002"/>
      <c r="G146" s="2002"/>
      <c r="H146" s="2002"/>
      <c r="I146" s="2002"/>
      <c r="J146" s="2002"/>
      <c r="K146" s="2002"/>
      <c r="L146" s="2003"/>
      <c r="M146" s="367"/>
      <c r="N146" s="368"/>
      <c r="O146" s="368"/>
      <c r="P146" s="368"/>
      <c r="Q146" s="368"/>
      <c r="R146" s="368"/>
      <c r="S146" s="368"/>
    </row>
    <row r="147" spans="2:19" ht="14.25" thickBot="1" x14ac:dyDescent="0.3">
      <c r="B147" s="2004"/>
      <c r="C147" s="2005"/>
      <c r="D147" s="2005"/>
      <c r="E147" s="2005"/>
      <c r="F147" s="2005"/>
      <c r="G147" s="2005"/>
      <c r="H147" s="2005"/>
      <c r="I147" s="2005"/>
      <c r="J147" s="2005"/>
      <c r="K147" s="2005"/>
      <c r="L147" s="2006"/>
      <c r="M147" s="367"/>
      <c r="N147" s="368"/>
      <c r="O147" s="368"/>
      <c r="P147" s="368"/>
      <c r="Q147" s="368"/>
      <c r="R147" s="368"/>
      <c r="S147" s="368"/>
    </row>
    <row r="148" spans="2:19" ht="21" customHeight="1" thickBot="1" x14ac:dyDescent="0.35">
      <c r="B148" s="258" t="str">
        <f>IF('0 Úvod'!$M$10="English",Slovnik!$E$581,Slovnik!$E$580)</f>
        <v>Konverzní faktor může být stanoven výpočtem pro konkrétní projekt v souladu s pokyny v kapitole 5.1.3 Rezortní metodiky, případně lze použít obecné doporučené hodnoty (tabulka 11.3.)</v>
      </c>
      <c r="C148" s="259"/>
      <c r="D148" s="260"/>
      <c r="E148" s="260"/>
      <c r="F148" s="260"/>
      <c r="G148" s="261"/>
      <c r="H148" s="260"/>
      <c r="I148" s="260"/>
      <c r="J148" s="260"/>
      <c r="K148" s="260"/>
      <c r="L148" s="262"/>
      <c r="M148" s="369"/>
      <c r="N148" s="245"/>
      <c r="O148" s="245"/>
      <c r="P148" s="245"/>
      <c r="Q148" s="245"/>
      <c r="R148" s="245"/>
      <c r="S148" s="245"/>
    </row>
    <row r="149" spans="2:19" s="18" customFormat="1" x14ac:dyDescent="0.25"/>
    <row r="150" spans="2:19" s="18" customFormat="1" x14ac:dyDescent="0.25"/>
    <row r="151" spans="2:19" s="18" customFormat="1" x14ac:dyDescent="0.25"/>
    <row r="152" spans="2:19" s="18" customFormat="1" x14ac:dyDescent="0.25"/>
    <row r="153" spans="2:19" s="18" customFormat="1" x14ac:dyDescent="0.25"/>
    <row r="154" spans="2:19" s="18" customFormat="1" x14ac:dyDescent="0.25"/>
    <row r="155" spans="2:19" s="18" customFormat="1" x14ac:dyDescent="0.25"/>
    <row r="156" spans="2:19" s="18" customFormat="1" x14ac:dyDescent="0.25"/>
    <row r="157" spans="2:19" s="18" customFormat="1" x14ac:dyDescent="0.25"/>
    <row r="158" spans="2:19" s="18" customFormat="1" x14ac:dyDescent="0.25"/>
    <row r="159" spans="2:19" s="18" customFormat="1" x14ac:dyDescent="0.25"/>
    <row r="160" spans="2:19" s="18" customFormat="1" x14ac:dyDescent="0.25"/>
    <row r="161" s="18" customFormat="1" x14ac:dyDescent="0.25"/>
    <row r="162" s="18" customFormat="1" x14ac:dyDescent="0.25"/>
    <row r="163" s="18" customFormat="1" x14ac:dyDescent="0.25"/>
    <row r="164" s="18" customFormat="1" x14ac:dyDescent="0.25"/>
    <row r="165" s="18" customFormat="1" x14ac:dyDescent="0.25"/>
    <row r="166" s="18" customFormat="1" x14ac:dyDescent="0.25"/>
    <row r="167" s="18" customFormat="1" x14ac:dyDescent="0.25"/>
    <row r="168" s="18" customFormat="1" x14ac:dyDescent="0.25"/>
    <row r="169" s="18" customFormat="1" x14ac:dyDescent="0.25"/>
    <row r="170" s="18" customFormat="1" x14ac:dyDescent="0.25"/>
    <row r="171" s="18" customFormat="1" x14ac:dyDescent="0.25"/>
    <row r="172" s="18" customFormat="1" x14ac:dyDescent="0.25"/>
    <row r="173" s="18" customFormat="1" x14ac:dyDescent="0.25"/>
    <row r="174" s="18" customFormat="1" x14ac:dyDescent="0.25"/>
    <row r="175" s="18" customFormat="1" x14ac:dyDescent="0.25"/>
    <row r="176" s="18" customFormat="1" x14ac:dyDescent="0.25"/>
    <row r="177" s="18" customFormat="1" x14ac:dyDescent="0.25"/>
    <row r="178" s="18" customFormat="1" x14ac:dyDescent="0.25"/>
    <row r="179" s="18" customFormat="1" x14ac:dyDescent="0.25"/>
    <row r="180" s="18" customFormat="1" x14ac:dyDescent="0.25"/>
    <row r="181" s="18" customFormat="1" x14ac:dyDescent="0.25"/>
    <row r="182" s="18" customFormat="1" x14ac:dyDescent="0.25"/>
    <row r="183" s="18" customFormat="1" x14ac:dyDescent="0.25"/>
    <row r="184" s="18" customFormat="1" x14ac:dyDescent="0.25"/>
    <row r="185" s="18" customFormat="1" x14ac:dyDescent="0.25"/>
    <row r="186" s="18" customFormat="1" x14ac:dyDescent="0.25"/>
    <row r="187" s="18" customFormat="1" x14ac:dyDescent="0.25"/>
    <row r="188" s="18" customFormat="1" x14ac:dyDescent="0.25"/>
    <row r="189" s="18" customFormat="1" x14ac:dyDescent="0.25"/>
    <row r="190" s="18" customFormat="1" x14ac:dyDescent="0.25"/>
    <row r="191" s="18" customFormat="1" x14ac:dyDescent="0.25"/>
    <row r="192" s="18" customFormat="1" x14ac:dyDescent="0.25"/>
    <row r="193" s="18" customFormat="1" x14ac:dyDescent="0.25"/>
    <row r="194" s="18" customFormat="1" x14ac:dyDescent="0.25"/>
    <row r="195" s="18" customFormat="1" x14ac:dyDescent="0.25"/>
    <row r="196" s="18" customFormat="1" x14ac:dyDescent="0.25"/>
    <row r="197" s="18" customFormat="1" x14ac:dyDescent="0.25"/>
    <row r="198" s="18" customFormat="1" x14ac:dyDescent="0.25"/>
    <row r="199" s="18" customFormat="1" x14ac:dyDescent="0.25"/>
    <row r="200" s="18" customFormat="1" x14ac:dyDescent="0.25"/>
    <row r="201" s="18" customFormat="1" x14ac:dyDescent="0.25"/>
    <row r="202" s="18" customFormat="1" x14ac:dyDescent="0.25"/>
    <row r="203" s="18" customFormat="1" x14ac:dyDescent="0.25"/>
    <row r="204" s="18" customFormat="1" x14ac:dyDescent="0.25"/>
    <row r="205" s="18" customFormat="1" x14ac:dyDescent="0.25"/>
    <row r="206" s="18" customFormat="1" x14ac:dyDescent="0.25"/>
    <row r="207" s="18" customFormat="1" x14ac:dyDescent="0.25"/>
    <row r="208" s="18" customFormat="1" x14ac:dyDescent="0.25"/>
    <row r="209" s="18" customFormat="1" x14ac:dyDescent="0.25"/>
    <row r="210" s="18" customFormat="1" x14ac:dyDescent="0.25"/>
    <row r="211" s="18" customFormat="1" x14ac:dyDescent="0.25"/>
    <row r="212" s="18" customFormat="1" x14ac:dyDescent="0.25"/>
    <row r="213" s="18" customFormat="1" x14ac:dyDescent="0.25"/>
    <row r="214" s="18" customFormat="1" x14ac:dyDescent="0.25"/>
    <row r="215" s="18" customFormat="1" x14ac:dyDescent="0.25"/>
    <row r="216" s="18" customFormat="1" x14ac:dyDescent="0.25"/>
    <row r="217" s="18" customFormat="1" x14ac:dyDescent="0.25"/>
    <row r="218" s="18" customFormat="1" x14ac:dyDescent="0.25"/>
    <row r="219" s="18" customFormat="1" x14ac:dyDescent="0.25"/>
    <row r="220" s="18" customFormat="1" x14ac:dyDescent="0.25"/>
    <row r="221" s="18" customFormat="1" x14ac:dyDescent="0.25"/>
    <row r="222" s="18" customFormat="1" x14ac:dyDescent="0.25"/>
    <row r="223" s="18" customFormat="1" x14ac:dyDescent="0.25"/>
    <row r="224" s="18" customFormat="1" x14ac:dyDescent="0.25"/>
    <row r="225" s="18" customFormat="1" x14ac:dyDescent="0.25"/>
    <row r="226" s="18" customFormat="1" x14ac:dyDescent="0.25"/>
    <row r="227" s="18" customFormat="1" x14ac:dyDescent="0.25"/>
    <row r="228" s="18" customFormat="1" x14ac:dyDescent="0.25"/>
    <row r="229" s="18" customFormat="1" x14ac:dyDescent="0.25"/>
    <row r="230" s="18" customFormat="1" x14ac:dyDescent="0.25"/>
    <row r="231" s="18" customFormat="1" x14ac:dyDescent="0.25"/>
    <row r="232" s="18" customFormat="1" x14ac:dyDescent="0.25"/>
    <row r="233" s="18" customFormat="1" x14ac:dyDescent="0.25"/>
    <row r="234" s="18" customFormat="1" x14ac:dyDescent="0.25"/>
    <row r="235" s="18" customFormat="1" x14ac:dyDescent="0.25"/>
    <row r="236" s="18" customFormat="1" x14ac:dyDescent="0.25"/>
    <row r="237" s="18" customFormat="1" x14ac:dyDescent="0.25"/>
    <row r="238" s="18" customFormat="1" x14ac:dyDescent="0.25"/>
    <row r="239" s="18" customFormat="1" x14ac:dyDescent="0.25"/>
    <row r="240" s="18" customFormat="1" x14ac:dyDescent="0.25"/>
    <row r="241" s="18" customFormat="1" x14ac:dyDescent="0.25"/>
    <row r="242" s="18" customFormat="1" x14ac:dyDescent="0.25"/>
    <row r="243" s="18" customFormat="1" x14ac:dyDescent="0.25"/>
    <row r="244" s="18" customFormat="1" x14ac:dyDescent="0.25"/>
    <row r="245" s="18" customFormat="1" x14ac:dyDescent="0.25"/>
    <row r="246" s="18" customFormat="1" x14ac:dyDescent="0.25"/>
    <row r="247" s="18" customFormat="1" x14ac:dyDescent="0.25"/>
    <row r="248" s="18" customFormat="1" x14ac:dyDescent="0.25"/>
    <row r="249" s="18" customFormat="1" x14ac:dyDescent="0.25"/>
    <row r="250" s="18" customFormat="1" x14ac:dyDescent="0.25"/>
    <row r="251" s="18" customFormat="1" x14ac:dyDescent="0.25"/>
    <row r="252" s="18" customFormat="1" x14ac:dyDescent="0.25"/>
    <row r="253" s="18" customFormat="1" x14ac:dyDescent="0.25"/>
    <row r="254" s="18" customFormat="1" x14ac:dyDescent="0.25"/>
    <row r="255" s="18" customFormat="1" x14ac:dyDescent="0.25"/>
    <row r="256" s="18" customFormat="1" x14ac:dyDescent="0.25"/>
    <row r="257" s="18" customFormat="1" x14ac:dyDescent="0.25"/>
    <row r="258" s="18" customFormat="1" x14ac:dyDescent="0.25"/>
    <row r="259" s="18" customFormat="1" x14ac:dyDescent="0.25"/>
    <row r="260" s="18" customFormat="1" x14ac:dyDescent="0.25"/>
    <row r="261" s="18" customFormat="1" x14ac:dyDescent="0.25"/>
    <row r="262" s="18" customFormat="1" x14ac:dyDescent="0.25"/>
    <row r="263" s="18" customFormat="1" x14ac:dyDescent="0.25"/>
    <row r="264" s="18" customFormat="1" x14ac:dyDescent="0.25"/>
    <row r="265" s="18" customFormat="1" x14ac:dyDescent="0.25"/>
    <row r="266" s="18" customFormat="1" x14ac:dyDescent="0.25"/>
    <row r="267" s="18" customFormat="1" x14ac:dyDescent="0.25"/>
    <row r="268" s="18" customFormat="1" x14ac:dyDescent="0.25"/>
    <row r="269" s="18" customFormat="1" x14ac:dyDescent="0.25"/>
    <row r="270" s="18" customFormat="1" x14ac:dyDescent="0.25"/>
    <row r="271" s="18" customFormat="1" x14ac:dyDescent="0.25"/>
    <row r="272" s="18" customFormat="1" x14ac:dyDescent="0.25"/>
    <row r="273" s="18" customFormat="1" x14ac:dyDescent="0.25"/>
    <row r="274" s="18" customFormat="1" x14ac:dyDescent="0.25"/>
    <row r="275" s="18" customFormat="1" x14ac:dyDescent="0.25"/>
    <row r="276" s="18" customFormat="1" x14ac:dyDescent="0.25"/>
    <row r="277" s="18" customFormat="1" x14ac:dyDescent="0.25"/>
    <row r="278" s="18" customFormat="1" x14ac:dyDescent="0.25"/>
    <row r="279" s="18" customFormat="1" x14ac:dyDescent="0.25"/>
    <row r="280" s="18" customFormat="1" x14ac:dyDescent="0.25"/>
    <row r="281" s="18" customFormat="1" x14ac:dyDescent="0.25"/>
    <row r="282" s="18" customFormat="1" x14ac:dyDescent="0.25"/>
    <row r="283" s="18" customFormat="1" x14ac:dyDescent="0.25"/>
    <row r="284" s="18" customFormat="1" x14ac:dyDescent="0.25"/>
    <row r="285" s="18" customFormat="1" x14ac:dyDescent="0.25"/>
    <row r="286" s="18" customFormat="1" x14ac:dyDescent="0.25"/>
    <row r="287" s="18" customFormat="1" x14ac:dyDescent="0.25"/>
    <row r="288" s="18" customFormat="1" x14ac:dyDescent="0.25"/>
    <row r="289" s="18" customFormat="1" x14ac:dyDescent="0.25"/>
    <row r="290" s="18" customFormat="1" x14ac:dyDescent="0.25"/>
    <row r="291" s="18" customFormat="1" x14ac:dyDescent="0.25"/>
    <row r="292" s="18" customFormat="1" x14ac:dyDescent="0.25"/>
    <row r="293" s="18" customFormat="1" x14ac:dyDescent="0.25"/>
    <row r="294" s="18" customFormat="1" x14ac:dyDescent="0.25"/>
    <row r="295" s="18" customFormat="1" x14ac:dyDescent="0.25"/>
    <row r="296" s="18" customFormat="1" x14ac:dyDescent="0.25"/>
    <row r="297" s="18" customFormat="1" x14ac:dyDescent="0.25"/>
    <row r="298" s="18" customFormat="1" x14ac:dyDescent="0.25"/>
    <row r="299" s="18" customFormat="1" x14ac:dyDescent="0.25"/>
    <row r="300" s="18" customFormat="1" x14ac:dyDescent="0.25"/>
    <row r="301" s="18" customFormat="1" x14ac:dyDescent="0.25"/>
    <row r="302" s="18" customFormat="1" x14ac:dyDescent="0.25"/>
    <row r="303" s="18" customFormat="1" x14ac:dyDescent="0.25"/>
    <row r="304" s="18" customFormat="1" x14ac:dyDescent="0.25"/>
    <row r="305" s="18" customFormat="1" x14ac:dyDescent="0.25"/>
    <row r="306" s="18" customFormat="1" x14ac:dyDescent="0.25"/>
    <row r="307" s="18" customFormat="1" x14ac:dyDescent="0.25"/>
    <row r="308" s="18" customFormat="1" x14ac:dyDescent="0.25"/>
    <row r="309" s="18" customFormat="1" x14ac:dyDescent="0.25"/>
    <row r="310" s="18" customFormat="1" x14ac:dyDescent="0.25"/>
    <row r="311" s="18" customFormat="1" x14ac:dyDescent="0.25"/>
    <row r="312" s="18" customFormat="1" x14ac:dyDescent="0.25"/>
    <row r="313" s="18" customFormat="1" x14ac:dyDescent="0.25"/>
    <row r="314" s="18" customFormat="1" x14ac:dyDescent="0.25"/>
    <row r="315" s="18" customFormat="1" x14ac:dyDescent="0.25"/>
    <row r="316" s="18" customFormat="1" x14ac:dyDescent="0.25"/>
    <row r="317" s="18" customFormat="1" x14ac:dyDescent="0.25"/>
    <row r="318" s="18" customFormat="1" x14ac:dyDescent="0.25"/>
    <row r="319" s="18" customFormat="1" x14ac:dyDescent="0.25"/>
    <row r="320" s="18" customFormat="1" x14ac:dyDescent="0.25"/>
    <row r="321" s="18" customFormat="1" x14ac:dyDescent="0.25"/>
    <row r="322" s="18" customFormat="1" x14ac:dyDescent="0.25"/>
    <row r="323" s="18" customFormat="1" x14ac:dyDescent="0.25"/>
    <row r="324" s="18" customFormat="1" x14ac:dyDescent="0.25"/>
    <row r="325" s="18" customFormat="1" x14ac:dyDescent="0.25"/>
    <row r="326" s="18" customFormat="1" x14ac:dyDescent="0.25"/>
    <row r="327" s="18" customFormat="1" x14ac:dyDescent="0.25"/>
    <row r="328" s="18" customFormat="1" x14ac:dyDescent="0.25"/>
    <row r="329" s="18" customFormat="1" x14ac:dyDescent="0.25"/>
    <row r="330" s="18" customFormat="1" x14ac:dyDescent="0.25"/>
    <row r="331" s="18" customFormat="1" x14ac:dyDescent="0.25"/>
    <row r="332" s="18" customFormat="1" x14ac:dyDescent="0.25"/>
    <row r="333" s="18" customFormat="1" x14ac:dyDescent="0.25"/>
    <row r="334" s="18" customFormat="1" x14ac:dyDescent="0.25"/>
    <row r="335" s="18" customFormat="1" x14ac:dyDescent="0.25"/>
    <row r="336" s="18" customFormat="1" x14ac:dyDescent="0.25"/>
    <row r="337" s="18" customFormat="1" x14ac:dyDescent="0.25"/>
    <row r="338" s="18" customFormat="1" x14ac:dyDescent="0.25"/>
    <row r="339" s="18" customFormat="1" x14ac:dyDescent="0.25"/>
    <row r="340" s="18" customFormat="1" x14ac:dyDescent="0.25"/>
    <row r="341" s="18" customFormat="1" x14ac:dyDescent="0.25"/>
    <row r="342" s="18" customFormat="1" x14ac:dyDescent="0.25"/>
    <row r="343" s="18" customFormat="1" x14ac:dyDescent="0.25"/>
    <row r="344" s="18" customFormat="1" x14ac:dyDescent="0.25"/>
    <row r="345" s="18" customFormat="1" x14ac:dyDescent="0.25"/>
    <row r="346" s="18" customFormat="1" x14ac:dyDescent="0.25"/>
    <row r="347" s="18" customFormat="1" x14ac:dyDescent="0.25"/>
    <row r="348" s="18" customFormat="1" x14ac:dyDescent="0.25"/>
    <row r="349" s="18" customFormat="1" x14ac:dyDescent="0.25"/>
    <row r="350" s="18" customFormat="1" x14ac:dyDescent="0.25"/>
    <row r="351" s="18" customFormat="1" x14ac:dyDescent="0.25"/>
    <row r="352" s="18" customFormat="1" x14ac:dyDescent="0.25"/>
    <row r="353" s="18" customFormat="1" x14ac:dyDescent="0.25"/>
    <row r="354" s="18" customFormat="1" x14ac:dyDescent="0.25"/>
    <row r="355" s="18" customFormat="1" x14ac:dyDescent="0.25"/>
    <row r="356" s="18" customFormat="1" x14ac:dyDescent="0.25"/>
    <row r="357" s="18" customFormat="1" x14ac:dyDescent="0.25"/>
    <row r="358" s="18" customFormat="1" x14ac:dyDescent="0.25"/>
    <row r="359" s="18" customFormat="1" x14ac:dyDescent="0.25"/>
    <row r="360" s="18" customFormat="1" x14ac:dyDescent="0.25"/>
    <row r="361" s="18" customFormat="1" x14ac:dyDescent="0.25"/>
    <row r="362" s="18" customFormat="1" x14ac:dyDescent="0.25"/>
    <row r="363" s="18" customFormat="1" x14ac:dyDescent="0.25"/>
    <row r="364" s="18" customFormat="1" x14ac:dyDescent="0.25"/>
    <row r="365" s="18" customFormat="1" x14ac:dyDescent="0.25"/>
    <row r="366" s="18" customFormat="1" x14ac:dyDescent="0.25"/>
    <row r="367" s="18" customFormat="1" x14ac:dyDescent="0.25"/>
    <row r="368" s="18" customFormat="1" x14ac:dyDescent="0.25"/>
    <row r="369" s="18" customFormat="1" x14ac:dyDescent="0.25"/>
    <row r="370" s="18" customFormat="1" x14ac:dyDescent="0.25"/>
    <row r="371" s="18" customFormat="1" x14ac:dyDescent="0.25"/>
    <row r="372" s="18" customFormat="1" x14ac:dyDescent="0.25"/>
    <row r="373" s="18" customFormat="1" x14ac:dyDescent="0.25"/>
    <row r="374" s="18" customFormat="1" x14ac:dyDescent="0.25"/>
    <row r="375" s="18" customFormat="1" x14ac:dyDescent="0.25"/>
    <row r="376" s="18" customFormat="1" x14ac:dyDescent="0.25"/>
    <row r="377" s="18" customFormat="1" x14ac:dyDescent="0.25"/>
    <row r="378" s="18" customFormat="1" x14ac:dyDescent="0.25"/>
    <row r="379" s="18" customFormat="1" x14ac:dyDescent="0.25"/>
    <row r="380" s="18" customFormat="1" x14ac:dyDescent="0.25"/>
    <row r="381" s="18" customFormat="1" x14ac:dyDescent="0.25"/>
    <row r="382" s="18" customFormat="1" x14ac:dyDescent="0.25"/>
    <row r="383" s="18" customFormat="1" x14ac:dyDescent="0.25"/>
    <row r="384" s="18" customFormat="1" x14ac:dyDescent="0.25"/>
    <row r="385" s="18" customFormat="1" x14ac:dyDescent="0.25"/>
    <row r="386" s="18" customFormat="1" x14ac:dyDescent="0.25"/>
    <row r="387" s="18" customFormat="1" x14ac:dyDescent="0.25"/>
    <row r="388" s="18" customFormat="1" x14ac:dyDescent="0.25"/>
    <row r="389" s="18" customFormat="1" x14ac:dyDescent="0.25"/>
    <row r="390" s="18" customFormat="1" x14ac:dyDescent="0.25"/>
    <row r="391" s="18" customFormat="1" x14ac:dyDescent="0.25"/>
    <row r="392" s="18" customFormat="1" x14ac:dyDescent="0.25"/>
    <row r="393" s="18" customFormat="1" x14ac:dyDescent="0.25"/>
    <row r="394" s="18" customFormat="1" x14ac:dyDescent="0.25"/>
    <row r="395" s="18" customFormat="1" x14ac:dyDescent="0.25"/>
    <row r="396" s="18" customFormat="1" x14ac:dyDescent="0.25"/>
    <row r="397" s="18" customFormat="1" x14ac:dyDescent="0.25"/>
    <row r="398" s="18" customFormat="1" x14ac:dyDescent="0.25"/>
    <row r="399" s="18" customFormat="1" x14ac:dyDescent="0.25"/>
    <row r="400" s="18" customFormat="1" x14ac:dyDescent="0.25"/>
    <row r="401" s="18" customFormat="1" x14ac:dyDescent="0.25"/>
    <row r="402" s="18" customFormat="1" x14ac:dyDescent="0.25"/>
    <row r="403" s="18" customFormat="1" x14ac:dyDescent="0.25"/>
    <row r="404" s="18" customFormat="1" x14ac:dyDescent="0.25"/>
    <row r="405" s="18" customFormat="1" x14ac:dyDescent="0.25"/>
    <row r="406" s="18" customFormat="1" x14ac:dyDescent="0.25"/>
    <row r="407" s="18" customFormat="1" x14ac:dyDescent="0.25"/>
    <row r="408" s="18" customFormat="1" x14ac:dyDescent="0.25"/>
    <row r="409" s="18" customFormat="1" x14ac:dyDescent="0.25"/>
    <row r="410" s="18" customFormat="1" x14ac:dyDescent="0.25"/>
    <row r="411" s="18" customFormat="1" x14ac:dyDescent="0.25"/>
    <row r="412" s="18" customFormat="1" x14ac:dyDescent="0.25"/>
    <row r="413" s="18" customFormat="1" x14ac:dyDescent="0.25"/>
    <row r="414" s="18" customFormat="1" x14ac:dyDescent="0.25"/>
    <row r="415" s="18" customFormat="1" x14ac:dyDescent="0.25"/>
    <row r="416" s="18" customFormat="1" x14ac:dyDescent="0.25"/>
    <row r="417" s="18" customFormat="1" x14ac:dyDescent="0.25"/>
    <row r="418" s="18" customFormat="1" x14ac:dyDescent="0.25"/>
    <row r="419" s="18" customFormat="1" x14ac:dyDescent="0.25"/>
    <row r="420" s="18" customFormat="1" x14ac:dyDescent="0.25"/>
    <row r="421" s="18" customFormat="1" x14ac:dyDescent="0.25"/>
    <row r="422" s="18" customFormat="1" x14ac:dyDescent="0.25"/>
    <row r="423" s="18" customFormat="1" x14ac:dyDescent="0.25"/>
    <row r="424" s="18" customFormat="1" x14ac:dyDescent="0.25"/>
    <row r="425" s="18" customFormat="1" x14ac:dyDescent="0.25"/>
    <row r="426" s="18" customFormat="1" x14ac:dyDescent="0.25"/>
    <row r="427" s="18" customFormat="1" x14ac:dyDescent="0.25"/>
    <row r="428" s="18" customFormat="1" x14ac:dyDescent="0.25"/>
    <row r="429" s="18" customFormat="1" x14ac:dyDescent="0.25"/>
    <row r="430" s="18" customFormat="1" x14ac:dyDescent="0.25"/>
    <row r="431" s="18" customFormat="1" x14ac:dyDescent="0.25"/>
    <row r="432" s="18" customFormat="1" x14ac:dyDescent="0.25"/>
    <row r="433" s="18" customFormat="1" x14ac:dyDescent="0.25"/>
    <row r="434" s="18" customFormat="1" x14ac:dyDescent="0.25"/>
    <row r="435" s="18" customFormat="1" x14ac:dyDescent="0.25"/>
    <row r="436" s="18" customFormat="1" x14ac:dyDescent="0.25"/>
    <row r="437" s="18" customFormat="1" x14ac:dyDescent="0.25"/>
    <row r="438" s="18" customFormat="1" x14ac:dyDescent="0.25"/>
    <row r="439" s="18" customFormat="1" x14ac:dyDescent="0.25"/>
    <row r="440" s="18" customFormat="1" x14ac:dyDescent="0.25"/>
    <row r="441" s="18" customFormat="1" x14ac:dyDescent="0.25"/>
    <row r="442" s="18" customFormat="1" x14ac:dyDescent="0.25"/>
    <row r="443" s="18" customFormat="1" x14ac:dyDescent="0.25"/>
    <row r="444" s="18" customFormat="1" x14ac:dyDescent="0.25"/>
    <row r="445" s="18" customFormat="1" x14ac:dyDescent="0.25"/>
    <row r="446" s="18" customFormat="1" x14ac:dyDescent="0.25"/>
    <row r="447" s="18" customFormat="1" x14ac:dyDescent="0.25"/>
    <row r="448" s="18" customFormat="1" x14ac:dyDescent="0.25"/>
    <row r="449" s="18" customFormat="1" x14ac:dyDescent="0.25"/>
    <row r="450" s="18" customFormat="1" x14ac:dyDescent="0.25"/>
    <row r="451" s="18" customFormat="1" x14ac:dyDescent="0.25"/>
    <row r="452" s="18" customFormat="1" x14ac:dyDescent="0.25"/>
    <row r="453" s="18" customFormat="1" x14ac:dyDescent="0.25"/>
    <row r="454" s="18" customFormat="1" x14ac:dyDescent="0.25"/>
    <row r="455" s="18" customFormat="1" x14ac:dyDescent="0.25"/>
    <row r="456" s="18" customFormat="1" x14ac:dyDescent="0.25"/>
    <row r="457" s="18" customFormat="1" x14ac:dyDescent="0.25"/>
    <row r="458" s="18" customFormat="1" x14ac:dyDescent="0.25"/>
    <row r="459" s="18" customFormat="1" x14ac:dyDescent="0.25"/>
    <row r="460" s="18" customFormat="1" x14ac:dyDescent="0.25"/>
    <row r="461" s="18" customFormat="1" x14ac:dyDescent="0.25"/>
    <row r="462" s="18" customFormat="1" x14ac:dyDescent="0.25"/>
    <row r="463" s="18" customFormat="1" x14ac:dyDescent="0.25"/>
    <row r="464" s="18" customFormat="1" x14ac:dyDescent="0.25"/>
    <row r="465" s="18" customFormat="1" x14ac:dyDescent="0.25"/>
    <row r="466" s="18" customFormat="1" x14ac:dyDescent="0.25"/>
    <row r="467" s="18" customFormat="1" x14ac:dyDescent="0.25"/>
    <row r="468" s="18" customFormat="1" x14ac:dyDescent="0.25"/>
    <row r="469" s="18" customFormat="1" x14ac:dyDescent="0.25"/>
    <row r="470" s="18" customFormat="1" x14ac:dyDescent="0.25"/>
    <row r="471" s="18" customFormat="1" x14ac:dyDescent="0.25"/>
    <row r="472" s="18" customFormat="1" x14ac:dyDescent="0.25"/>
    <row r="473" s="18" customFormat="1" x14ac:dyDescent="0.25"/>
    <row r="474" s="18" customFormat="1" x14ac:dyDescent="0.25"/>
    <row r="475" s="18" customFormat="1" x14ac:dyDescent="0.25"/>
    <row r="476" s="18" customFormat="1" x14ac:dyDescent="0.25"/>
    <row r="477" s="18" customFormat="1" x14ac:dyDescent="0.25"/>
    <row r="478" s="18" customFormat="1" x14ac:dyDescent="0.25"/>
    <row r="479" s="18" customFormat="1" x14ac:dyDescent="0.25"/>
    <row r="480" s="18" customFormat="1" x14ac:dyDescent="0.25"/>
    <row r="481" s="18" customFormat="1" x14ac:dyDescent="0.25"/>
    <row r="482" s="18" customFormat="1" x14ac:dyDescent="0.25"/>
    <row r="483" s="18" customFormat="1" x14ac:dyDescent="0.25"/>
    <row r="484" s="18" customFormat="1" x14ac:dyDescent="0.25"/>
    <row r="485" s="18" customFormat="1" x14ac:dyDescent="0.25"/>
    <row r="486" s="18" customFormat="1" x14ac:dyDescent="0.25"/>
    <row r="487" s="18" customFormat="1" x14ac:dyDescent="0.25"/>
    <row r="488" s="18" customFormat="1" x14ac:dyDescent="0.25"/>
    <row r="489" s="18" customFormat="1" x14ac:dyDescent="0.25"/>
    <row r="490" s="18" customFormat="1" x14ac:dyDescent="0.25"/>
    <row r="491" s="18" customFormat="1" x14ac:dyDescent="0.25"/>
    <row r="492" s="18" customFormat="1" x14ac:dyDescent="0.25"/>
    <row r="493" s="18" customFormat="1" x14ac:dyDescent="0.25"/>
    <row r="494" s="18" customFormat="1" x14ac:dyDescent="0.25"/>
    <row r="495" s="18" customFormat="1" x14ac:dyDescent="0.25"/>
    <row r="496" s="18" customFormat="1" x14ac:dyDescent="0.25"/>
    <row r="497" s="18" customFormat="1" x14ac:dyDescent="0.25"/>
    <row r="498" s="18" customFormat="1" x14ac:dyDescent="0.25"/>
    <row r="499" s="18" customFormat="1" x14ac:dyDescent="0.25"/>
    <row r="500" s="18" customFormat="1" x14ac:dyDescent="0.25"/>
    <row r="501" s="18" customFormat="1" x14ac:dyDescent="0.25"/>
    <row r="502" s="18" customFormat="1" x14ac:dyDescent="0.25"/>
    <row r="503" s="18" customFormat="1" x14ac:dyDescent="0.25"/>
    <row r="504" s="18" customFormat="1" x14ac:dyDescent="0.25"/>
    <row r="505" s="18" customFormat="1" x14ac:dyDescent="0.25"/>
    <row r="506" s="18" customFormat="1" x14ac:dyDescent="0.25"/>
    <row r="507" s="18" customFormat="1" x14ac:dyDescent="0.25"/>
    <row r="508" s="18" customFormat="1" x14ac:dyDescent="0.25"/>
    <row r="509" s="18" customFormat="1" x14ac:dyDescent="0.25"/>
    <row r="510" s="18" customFormat="1" x14ac:dyDescent="0.25"/>
    <row r="511" s="18" customFormat="1" x14ac:dyDescent="0.25"/>
    <row r="512" s="18" customFormat="1" x14ac:dyDescent="0.25"/>
    <row r="513" s="18" customFormat="1" x14ac:dyDescent="0.25"/>
    <row r="514" s="18" customFormat="1" x14ac:dyDescent="0.25"/>
    <row r="515" s="18" customFormat="1" x14ac:dyDescent="0.25"/>
    <row r="516" s="18" customFormat="1" x14ac:dyDescent="0.25"/>
    <row r="517" s="18" customFormat="1" x14ac:dyDescent="0.25"/>
    <row r="518" s="18" customFormat="1" x14ac:dyDescent="0.25"/>
    <row r="519" s="18" customFormat="1" x14ac:dyDescent="0.25"/>
    <row r="520" s="18" customFormat="1" x14ac:dyDescent="0.25"/>
    <row r="521" s="18" customFormat="1" x14ac:dyDescent="0.25"/>
    <row r="522" s="18" customFormat="1" x14ac:dyDescent="0.25"/>
    <row r="523" s="18" customFormat="1" x14ac:dyDescent="0.25"/>
    <row r="524" s="18" customFormat="1" x14ac:dyDescent="0.25"/>
    <row r="525" s="18" customFormat="1" x14ac:dyDescent="0.25"/>
    <row r="526" s="18" customFormat="1" x14ac:dyDescent="0.25"/>
    <row r="527" s="18" customFormat="1" x14ac:dyDescent="0.25"/>
    <row r="528" s="18" customFormat="1" x14ac:dyDescent="0.25"/>
    <row r="529" s="18" customFormat="1" x14ac:dyDescent="0.25"/>
    <row r="530" s="18" customFormat="1" x14ac:dyDescent="0.25"/>
    <row r="531" s="18" customFormat="1" x14ac:dyDescent="0.25"/>
    <row r="532" s="18" customFormat="1" x14ac:dyDescent="0.25"/>
    <row r="533" s="18" customFormat="1" x14ac:dyDescent="0.25"/>
    <row r="534" s="18" customFormat="1" x14ac:dyDescent="0.25"/>
    <row r="535" s="18" customFormat="1" x14ac:dyDescent="0.25"/>
    <row r="536" s="18" customFormat="1" x14ac:dyDescent="0.25"/>
    <row r="537" s="18" customFormat="1" x14ac:dyDescent="0.25"/>
    <row r="538" s="18" customFormat="1" x14ac:dyDescent="0.25"/>
    <row r="539" s="18" customFormat="1" x14ac:dyDescent="0.25"/>
    <row r="540" s="18" customFormat="1" x14ac:dyDescent="0.25"/>
    <row r="541" s="18" customFormat="1" x14ac:dyDescent="0.25"/>
    <row r="542" s="18" customFormat="1" x14ac:dyDescent="0.25"/>
    <row r="543" s="18" customFormat="1" x14ac:dyDescent="0.25"/>
    <row r="544" s="18" customFormat="1" x14ac:dyDescent="0.25"/>
    <row r="545" s="18" customFormat="1" x14ac:dyDescent="0.25"/>
    <row r="546" s="18" customFormat="1" x14ac:dyDescent="0.25"/>
    <row r="547" s="18" customFormat="1" x14ac:dyDescent="0.25"/>
    <row r="548" s="18" customFormat="1" x14ac:dyDescent="0.25"/>
    <row r="549" s="18" customFormat="1" x14ac:dyDescent="0.25"/>
    <row r="550" s="18" customFormat="1" x14ac:dyDescent="0.25"/>
    <row r="551" s="18" customFormat="1" x14ac:dyDescent="0.25"/>
    <row r="552" s="18" customFormat="1" x14ac:dyDescent="0.25"/>
    <row r="553" s="18" customFormat="1" x14ac:dyDescent="0.25"/>
    <row r="554" s="18" customFormat="1" x14ac:dyDescent="0.25"/>
    <row r="555" s="18" customFormat="1" x14ac:dyDescent="0.25"/>
    <row r="556" s="18" customFormat="1" x14ac:dyDescent="0.25"/>
    <row r="557" s="18" customFormat="1" x14ac:dyDescent="0.25"/>
    <row r="558" s="18" customFormat="1" x14ac:dyDescent="0.25"/>
    <row r="559" s="18" customFormat="1" x14ac:dyDescent="0.25"/>
    <row r="560" s="18" customFormat="1" x14ac:dyDescent="0.25"/>
    <row r="561" s="18" customFormat="1" x14ac:dyDescent="0.25"/>
    <row r="562" s="18" customFormat="1" x14ac:dyDescent="0.25"/>
    <row r="563" s="18" customFormat="1" x14ac:dyDescent="0.25"/>
    <row r="564" s="18" customFormat="1" x14ac:dyDescent="0.25"/>
    <row r="565" s="18" customFormat="1" x14ac:dyDescent="0.25"/>
    <row r="566" s="18" customFormat="1" x14ac:dyDescent="0.25"/>
    <row r="567" s="18" customFormat="1" x14ac:dyDescent="0.25"/>
    <row r="568" s="18" customFormat="1" x14ac:dyDescent="0.25"/>
    <row r="569" s="18" customFormat="1" x14ac:dyDescent="0.25"/>
    <row r="570" s="18" customFormat="1" x14ac:dyDescent="0.25"/>
    <row r="571" s="18" customFormat="1" x14ac:dyDescent="0.25"/>
    <row r="572" s="18" customFormat="1" x14ac:dyDescent="0.25"/>
    <row r="573" s="18" customFormat="1" x14ac:dyDescent="0.25"/>
    <row r="574" s="18" customFormat="1" x14ac:dyDescent="0.25"/>
    <row r="575" s="18" customFormat="1" x14ac:dyDescent="0.25"/>
    <row r="576" s="18" customFormat="1" x14ac:dyDescent="0.25"/>
    <row r="577" s="18" customFormat="1" x14ac:dyDescent="0.25"/>
    <row r="578" s="18" customFormat="1" x14ac:dyDescent="0.25"/>
    <row r="579" s="18" customFormat="1" x14ac:dyDescent="0.25"/>
    <row r="580" s="18" customFormat="1" x14ac:dyDescent="0.25"/>
    <row r="581" s="18" customFormat="1" x14ac:dyDescent="0.25"/>
    <row r="582" s="18" customFormat="1" x14ac:dyDescent="0.25"/>
    <row r="583" s="18" customFormat="1" x14ac:dyDescent="0.25"/>
    <row r="584" s="18" customFormat="1" x14ac:dyDescent="0.25"/>
    <row r="585" s="18" customFormat="1" x14ac:dyDescent="0.25"/>
    <row r="586" s="18" customFormat="1" x14ac:dyDescent="0.25"/>
    <row r="587" s="18" customFormat="1" x14ac:dyDescent="0.25"/>
    <row r="588" s="18" customFormat="1" x14ac:dyDescent="0.25"/>
    <row r="589" s="18" customFormat="1" x14ac:dyDescent="0.25"/>
    <row r="590" s="18" customFormat="1" x14ac:dyDescent="0.25"/>
    <row r="591" s="18" customFormat="1" x14ac:dyDescent="0.25"/>
    <row r="592" s="18" customFormat="1" x14ac:dyDescent="0.25"/>
    <row r="593" s="18" customFormat="1" x14ac:dyDescent="0.25"/>
    <row r="594" s="18" customFormat="1" x14ac:dyDescent="0.25"/>
    <row r="595" s="18" customFormat="1" x14ac:dyDescent="0.25"/>
    <row r="596" s="18" customFormat="1" x14ac:dyDescent="0.25"/>
    <row r="597" s="18" customFormat="1" x14ac:dyDescent="0.25"/>
    <row r="598" s="18" customFormat="1" x14ac:dyDescent="0.25"/>
    <row r="599" s="18" customFormat="1" x14ac:dyDescent="0.25"/>
    <row r="600" s="18" customFormat="1" x14ac:dyDescent="0.25"/>
    <row r="601" s="18" customFormat="1" x14ac:dyDescent="0.25"/>
    <row r="602" s="18" customFormat="1" x14ac:dyDescent="0.25"/>
    <row r="603" s="18" customFormat="1" x14ac:dyDescent="0.25"/>
    <row r="604" s="18" customFormat="1" x14ac:dyDescent="0.25"/>
    <row r="605" s="18" customFormat="1" x14ac:dyDescent="0.25"/>
    <row r="606" s="18" customFormat="1" x14ac:dyDescent="0.25"/>
    <row r="607" s="18" customFormat="1" x14ac:dyDescent="0.25"/>
    <row r="608" s="18" customFormat="1" x14ac:dyDescent="0.25"/>
    <row r="609" s="18" customFormat="1" x14ac:dyDescent="0.25"/>
    <row r="610" s="18" customFormat="1" x14ac:dyDescent="0.25"/>
    <row r="611" s="18" customFormat="1" x14ac:dyDescent="0.25"/>
    <row r="612" s="18" customFormat="1" x14ac:dyDescent="0.25"/>
    <row r="613" s="18" customFormat="1" x14ac:dyDescent="0.25"/>
    <row r="614" s="18" customFormat="1" x14ac:dyDescent="0.25"/>
    <row r="615" s="18" customFormat="1" x14ac:dyDescent="0.25"/>
    <row r="616" s="18" customFormat="1" x14ac:dyDescent="0.25"/>
    <row r="617" s="18" customFormat="1" x14ac:dyDescent="0.25"/>
    <row r="618" s="18" customFormat="1" x14ac:dyDescent="0.25"/>
    <row r="619" s="18" customFormat="1" x14ac:dyDescent="0.25"/>
    <row r="620" s="18" customFormat="1" x14ac:dyDescent="0.25"/>
    <row r="621" s="18" customFormat="1" x14ac:dyDescent="0.25"/>
    <row r="622" s="18" customFormat="1" x14ac:dyDescent="0.25"/>
    <row r="623" s="18" customFormat="1" x14ac:dyDescent="0.25"/>
    <row r="624" s="18" customFormat="1" x14ac:dyDescent="0.25"/>
    <row r="625" s="18" customFormat="1" x14ac:dyDescent="0.25"/>
    <row r="626" s="18" customFormat="1" x14ac:dyDescent="0.25"/>
    <row r="627" s="18" customFormat="1" x14ac:dyDescent="0.25"/>
    <row r="628" s="18" customFormat="1" x14ac:dyDescent="0.25"/>
    <row r="629" s="18" customFormat="1" x14ac:dyDescent="0.25"/>
    <row r="630" s="18" customFormat="1" x14ac:dyDescent="0.25"/>
    <row r="631" s="18" customFormat="1" x14ac:dyDescent="0.25"/>
    <row r="632" s="18" customFormat="1" x14ac:dyDescent="0.25"/>
    <row r="633" s="18" customFormat="1" x14ac:dyDescent="0.25"/>
    <row r="634" s="18" customFormat="1" x14ac:dyDescent="0.25"/>
    <row r="635" s="18" customFormat="1" x14ac:dyDescent="0.25"/>
    <row r="636" s="18" customFormat="1" x14ac:dyDescent="0.25"/>
    <row r="637" s="18" customFormat="1" x14ac:dyDescent="0.25"/>
    <row r="638" s="18" customFormat="1" x14ac:dyDescent="0.25"/>
    <row r="639" s="18" customFormat="1" x14ac:dyDescent="0.25"/>
    <row r="640" s="18" customFormat="1" x14ac:dyDescent="0.25"/>
    <row r="641" s="18" customFormat="1" x14ac:dyDescent="0.25"/>
    <row r="642" s="18" customFormat="1" x14ac:dyDescent="0.25"/>
    <row r="643" s="18" customFormat="1" x14ac:dyDescent="0.25"/>
    <row r="644" s="18" customFormat="1" x14ac:dyDescent="0.25"/>
    <row r="645" s="18" customFormat="1" x14ac:dyDescent="0.25"/>
    <row r="646" s="18" customFormat="1" x14ac:dyDescent="0.25"/>
    <row r="647" s="18" customFormat="1" x14ac:dyDescent="0.25"/>
    <row r="648" s="18" customFormat="1" x14ac:dyDescent="0.25"/>
    <row r="649" s="18" customFormat="1" x14ac:dyDescent="0.25"/>
    <row r="650" s="18" customFormat="1" x14ac:dyDescent="0.25"/>
    <row r="651" s="18" customFormat="1" x14ac:dyDescent="0.25"/>
    <row r="652" s="18" customFormat="1" x14ac:dyDescent="0.25"/>
    <row r="653" s="18" customFormat="1" x14ac:dyDescent="0.25"/>
    <row r="654" s="18" customFormat="1" x14ac:dyDescent="0.25"/>
    <row r="655" s="18" customFormat="1" x14ac:dyDescent="0.25"/>
    <row r="656" s="18" customFormat="1" x14ac:dyDescent="0.25"/>
    <row r="657" s="18" customFormat="1" x14ac:dyDescent="0.25"/>
    <row r="658" s="18" customFormat="1" x14ac:dyDescent="0.25"/>
    <row r="659" s="18" customFormat="1" x14ac:dyDescent="0.25"/>
    <row r="660" s="18" customFormat="1" x14ac:dyDescent="0.25"/>
    <row r="661" s="18" customFormat="1" x14ac:dyDescent="0.25"/>
    <row r="662" s="18" customFormat="1" x14ac:dyDescent="0.25"/>
    <row r="663" s="18" customFormat="1" x14ac:dyDescent="0.25"/>
    <row r="664" s="18" customFormat="1" x14ac:dyDescent="0.25"/>
    <row r="665" s="18" customFormat="1" x14ac:dyDescent="0.25"/>
    <row r="666" s="18" customFormat="1" x14ac:dyDescent="0.25"/>
    <row r="667" s="18" customFormat="1" x14ac:dyDescent="0.25"/>
    <row r="668" s="18" customFormat="1" x14ac:dyDescent="0.25"/>
    <row r="669" s="18" customFormat="1" x14ac:dyDescent="0.25"/>
    <row r="670" s="18" customFormat="1" x14ac:dyDescent="0.25"/>
    <row r="671" s="18" customFormat="1" x14ac:dyDescent="0.25"/>
    <row r="672" s="18" customFormat="1" x14ac:dyDescent="0.25"/>
    <row r="673" s="18" customFormat="1" x14ac:dyDescent="0.25"/>
    <row r="674" s="18" customFormat="1" x14ac:dyDescent="0.25"/>
    <row r="675" s="18" customFormat="1" x14ac:dyDescent="0.25"/>
    <row r="676" s="18" customFormat="1" x14ac:dyDescent="0.25"/>
    <row r="677" s="18" customFormat="1" x14ac:dyDescent="0.25"/>
    <row r="678" s="18" customFormat="1" x14ac:dyDescent="0.25"/>
    <row r="679" s="18" customFormat="1" x14ac:dyDescent="0.25"/>
    <row r="680" s="18" customFormat="1" x14ac:dyDescent="0.25"/>
    <row r="681" s="18" customFormat="1" x14ac:dyDescent="0.25"/>
    <row r="682" s="18" customFormat="1" x14ac:dyDescent="0.25"/>
    <row r="683" s="18" customFormat="1" x14ac:dyDescent="0.25"/>
    <row r="684" s="18" customFormat="1" x14ac:dyDescent="0.25"/>
    <row r="685" s="18" customFormat="1" x14ac:dyDescent="0.25"/>
    <row r="686" s="18" customFormat="1" x14ac:dyDescent="0.25"/>
    <row r="687" s="18" customFormat="1" x14ac:dyDescent="0.25"/>
    <row r="688" s="18" customFormat="1" x14ac:dyDescent="0.25"/>
    <row r="689" s="18" customFormat="1" x14ac:dyDescent="0.25"/>
    <row r="690" s="18" customFormat="1" x14ac:dyDescent="0.25"/>
    <row r="691" s="18" customFormat="1" x14ac:dyDescent="0.25"/>
    <row r="692" s="18" customFormat="1" x14ac:dyDescent="0.25"/>
    <row r="693" s="18" customFormat="1" x14ac:dyDescent="0.25"/>
    <row r="694" s="18" customFormat="1" x14ac:dyDescent="0.25"/>
    <row r="695" s="18" customFormat="1" x14ac:dyDescent="0.25"/>
    <row r="696" s="18" customFormat="1" x14ac:dyDescent="0.25"/>
    <row r="697" s="18" customFormat="1" x14ac:dyDescent="0.25"/>
    <row r="698" s="18" customFormat="1" x14ac:dyDescent="0.25"/>
    <row r="699" s="18" customFormat="1" x14ac:dyDescent="0.25"/>
    <row r="700" s="18" customFormat="1" x14ac:dyDescent="0.25"/>
    <row r="701" s="18" customFormat="1" x14ac:dyDescent="0.25"/>
    <row r="702" s="18" customFormat="1" x14ac:dyDescent="0.25"/>
    <row r="703" s="18" customFormat="1" x14ac:dyDescent="0.25"/>
    <row r="704" s="18" customFormat="1" x14ac:dyDescent="0.25"/>
    <row r="705" s="18" customFormat="1" x14ac:dyDescent="0.25"/>
    <row r="706" s="18" customFormat="1" x14ac:dyDescent="0.25"/>
    <row r="707" s="18" customFormat="1" x14ac:dyDescent="0.25"/>
    <row r="708" s="18" customFormat="1" x14ac:dyDescent="0.25"/>
    <row r="709" s="18" customFormat="1" x14ac:dyDescent="0.25"/>
    <row r="710" s="18" customFormat="1" x14ac:dyDescent="0.25"/>
    <row r="711" s="18" customFormat="1" x14ac:dyDescent="0.25"/>
    <row r="712" s="18" customFormat="1" x14ac:dyDescent="0.25"/>
    <row r="713" s="18" customFormat="1" x14ac:dyDescent="0.25"/>
    <row r="714" s="18" customFormat="1" x14ac:dyDescent="0.25"/>
    <row r="715" s="18" customFormat="1" x14ac:dyDescent="0.25"/>
    <row r="716" s="18" customFormat="1" x14ac:dyDescent="0.25"/>
    <row r="717" s="18" customFormat="1" x14ac:dyDescent="0.25"/>
    <row r="718" s="18" customFormat="1" x14ac:dyDescent="0.25"/>
    <row r="719" s="18" customFormat="1" x14ac:dyDescent="0.25"/>
    <row r="720" s="18" customFormat="1" x14ac:dyDescent="0.25"/>
    <row r="721" s="18" customFormat="1" x14ac:dyDescent="0.25"/>
    <row r="722" s="18" customFormat="1" x14ac:dyDescent="0.25"/>
    <row r="723" s="18" customFormat="1" x14ac:dyDescent="0.25"/>
    <row r="724" s="18" customFormat="1" x14ac:dyDescent="0.25"/>
    <row r="725" s="18" customFormat="1" x14ac:dyDescent="0.25"/>
    <row r="726" s="18" customFormat="1" x14ac:dyDescent="0.25"/>
    <row r="727" s="18" customFormat="1" x14ac:dyDescent="0.25"/>
    <row r="728" s="18" customFormat="1" x14ac:dyDescent="0.25"/>
    <row r="729" s="18" customFormat="1" x14ac:dyDescent="0.25"/>
    <row r="730" s="18" customFormat="1" x14ac:dyDescent="0.25"/>
    <row r="731" s="18" customFormat="1" x14ac:dyDescent="0.25"/>
    <row r="732" s="18" customFormat="1" x14ac:dyDescent="0.25"/>
    <row r="733" s="18" customFormat="1" x14ac:dyDescent="0.25"/>
    <row r="734" s="18" customFormat="1" x14ac:dyDescent="0.25"/>
    <row r="735" s="18" customFormat="1" x14ac:dyDescent="0.25"/>
    <row r="736" s="18" customFormat="1" x14ac:dyDescent="0.25"/>
    <row r="737" s="18" customFormat="1" x14ac:dyDescent="0.25"/>
    <row r="738" s="18" customFormat="1" x14ac:dyDescent="0.25"/>
    <row r="739" s="18" customFormat="1" x14ac:dyDescent="0.25"/>
    <row r="740" s="18" customFormat="1" x14ac:dyDescent="0.25"/>
    <row r="741" s="18" customFormat="1" x14ac:dyDescent="0.25"/>
    <row r="742" s="18" customFormat="1" x14ac:dyDescent="0.25"/>
    <row r="743" s="18" customFormat="1" x14ac:dyDescent="0.25"/>
    <row r="744" s="18" customFormat="1" x14ac:dyDescent="0.25"/>
    <row r="745" s="18" customFormat="1" x14ac:dyDescent="0.25"/>
    <row r="746" s="18" customFormat="1" x14ac:dyDescent="0.25"/>
    <row r="747" s="18" customFormat="1" x14ac:dyDescent="0.25"/>
    <row r="748" s="18" customFormat="1" x14ac:dyDescent="0.25"/>
    <row r="749" s="18" customFormat="1" x14ac:dyDescent="0.25"/>
    <row r="750" s="18" customFormat="1" x14ac:dyDescent="0.25"/>
    <row r="751" s="18" customFormat="1" x14ac:dyDescent="0.25"/>
    <row r="752" s="18" customFormat="1" x14ac:dyDescent="0.25"/>
    <row r="753" s="18" customFormat="1" x14ac:dyDescent="0.25"/>
    <row r="754" s="18" customFormat="1" x14ac:dyDescent="0.25"/>
    <row r="755" s="18" customFormat="1" x14ac:dyDescent="0.25"/>
    <row r="756" s="18" customFormat="1" x14ac:dyDescent="0.25"/>
    <row r="757" s="18" customFormat="1" x14ac:dyDescent="0.25"/>
    <row r="758" s="18" customFormat="1" x14ac:dyDescent="0.25"/>
    <row r="759" s="18" customFormat="1" x14ac:dyDescent="0.25"/>
    <row r="760" s="18" customFormat="1" x14ac:dyDescent="0.25"/>
    <row r="761" s="18" customFormat="1" x14ac:dyDescent="0.25"/>
    <row r="762" s="18" customFormat="1" x14ac:dyDescent="0.25"/>
    <row r="763" s="18" customFormat="1" x14ac:dyDescent="0.25"/>
    <row r="764" s="18" customFormat="1" x14ac:dyDescent="0.25"/>
    <row r="765" s="18" customFormat="1" x14ac:dyDescent="0.25"/>
    <row r="766" s="18" customFormat="1" x14ac:dyDescent="0.25"/>
    <row r="767" s="18" customFormat="1" x14ac:dyDescent="0.25"/>
    <row r="768" s="18" customFormat="1" x14ac:dyDescent="0.25"/>
    <row r="769" s="18" customFormat="1" x14ac:dyDescent="0.25"/>
    <row r="770" s="18" customFormat="1" x14ac:dyDescent="0.25"/>
    <row r="771" s="18" customFormat="1" x14ac:dyDescent="0.25"/>
    <row r="772" s="18" customFormat="1" x14ac:dyDescent="0.25"/>
    <row r="773" s="18" customFormat="1" x14ac:dyDescent="0.25"/>
    <row r="774" s="18" customFormat="1" x14ac:dyDescent="0.25"/>
    <row r="775" s="18" customFormat="1" x14ac:dyDescent="0.25"/>
    <row r="776" s="18" customFormat="1" x14ac:dyDescent="0.25"/>
    <row r="777" s="18" customFormat="1" x14ac:dyDescent="0.25"/>
    <row r="778" s="18" customFormat="1" x14ac:dyDescent="0.25"/>
    <row r="779" s="18" customFormat="1" x14ac:dyDescent="0.25"/>
    <row r="780" s="18" customFormat="1" x14ac:dyDescent="0.25"/>
    <row r="781" s="18" customFormat="1" x14ac:dyDescent="0.25"/>
    <row r="782" s="18" customFormat="1" x14ac:dyDescent="0.25"/>
    <row r="783" s="18" customFormat="1" x14ac:dyDescent="0.25"/>
    <row r="784" s="18" customFormat="1" x14ac:dyDescent="0.25"/>
    <row r="785" s="18" customFormat="1" x14ac:dyDescent="0.25"/>
    <row r="786" s="18" customFormat="1" x14ac:dyDescent="0.25"/>
    <row r="787" s="18" customFormat="1" x14ac:dyDescent="0.25"/>
    <row r="788" s="18" customFormat="1" x14ac:dyDescent="0.25"/>
    <row r="789" s="18" customFormat="1" x14ac:dyDescent="0.25"/>
    <row r="790" s="18" customFormat="1" x14ac:dyDescent="0.25"/>
    <row r="791" s="18" customFormat="1" x14ac:dyDescent="0.25"/>
    <row r="792" s="18" customFormat="1" x14ac:dyDescent="0.25"/>
    <row r="793" s="18" customFormat="1" x14ac:dyDescent="0.25"/>
    <row r="794" s="18" customFormat="1" x14ac:dyDescent="0.25"/>
    <row r="795" s="18" customFormat="1" x14ac:dyDescent="0.25"/>
    <row r="796" s="18" customFormat="1" x14ac:dyDescent="0.25"/>
    <row r="797" s="18" customFormat="1" x14ac:dyDescent="0.25"/>
    <row r="798" s="18" customFormat="1" x14ac:dyDescent="0.25"/>
    <row r="799" s="18" customFormat="1" x14ac:dyDescent="0.25"/>
    <row r="800" s="18" customFormat="1" x14ac:dyDescent="0.25"/>
    <row r="801" s="18" customFormat="1" x14ac:dyDescent="0.25"/>
    <row r="802" s="18" customFormat="1" x14ac:dyDescent="0.25"/>
    <row r="803" s="18" customFormat="1" x14ac:dyDescent="0.25"/>
    <row r="804" s="18" customFormat="1" x14ac:dyDescent="0.25"/>
    <row r="805" s="18" customFormat="1" x14ac:dyDescent="0.25"/>
    <row r="806" s="18" customFormat="1" x14ac:dyDescent="0.25"/>
    <row r="807" s="18" customFormat="1" x14ac:dyDescent="0.25"/>
    <row r="808" s="18" customFormat="1" x14ac:dyDescent="0.25"/>
    <row r="809" s="18" customFormat="1" x14ac:dyDescent="0.25"/>
    <row r="810" s="18" customFormat="1" x14ac:dyDescent="0.25"/>
    <row r="811" s="18" customFormat="1" x14ac:dyDescent="0.25"/>
    <row r="812" s="18" customFormat="1" x14ac:dyDescent="0.25"/>
    <row r="813" s="18" customFormat="1" x14ac:dyDescent="0.25"/>
    <row r="814" s="18" customFormat="1" x14ac:dyDescent="0.25"/>
    <row r="815" s="18" customFormat="1" x14ac:dyDescent="0.25"/>
    <row r="816" s="18" customFormat="1" x14ac:dyDescent="0.25"/>
    <row r="817" s="18" customFormat="1" x14ac:dyDescent="0.25"/>
    <row r="818" s="18" customFormat="1" x14ac:dyDescent="0.25"/>
    <row r="819" s="18" customFormat="1" x14ac:dyDescent="0.25"/>
    <row r="820" s="18" customFormat="1" x14ac:dyDescent="0.25"/>
    <row r="821" s="18" customFormat="1" x14ac:dyDescent="0.25"/>
    <row r="822" s="18" customFormat="1" x14ac:dyDescent="0.25"/>
    <row r="823" s="18" customFormat="1" x14ac:dyDescent="0.25"/>
    <row r="824" s="18" customFormat="1" x14ac:dyDescent="0.25"/>
    <row r="825" s="18" customFormat="1" x14ac:dyDescent="0.25"/>
    <row r="826" s="18" customFormat="1" x14ac:dyDescent="0.25"/>
    <row r="827" s="18" customFormat="1" x14ac:dyDescent="0.25"/>
    <row r="828" s="18" customFormat="1" x14ac:dyDescent="0.25"/>
    <row r="829" s="18" customFormat="1" x14ac:dyDescent="0.25"/>
    <row r="830" s="18" customFormat="1" x14ac:dyDescent="0.25"/>
    <row r="831" s="18" customFormat="1" x14ac:dyDescent="0.25"/>
    <row r="832" s="18" customFormat="1" x14ac:dyDescent="0.25"/>
    <row r="833" s="18" customFormat="1" x14ac:dyDescent="0.25"/>
    <row r="834" s="18" customFormat="1" x14ac:dyDescent="0.25"/>
    <row r="835" s="18" customFormat="1" x14ac:dyDescent="0.25"/>
    <row r="836" s="18" customFormat="1" x14ac:dyDescent="0.25"/>
    <row r="837" s="18" customFormat="1" x14ac:dyDescent="0.25"/>
    <row r="838" s="18" customFormat="1" x14ac:dyDescent="0.25"/>
    <row r="839" s="18" customFormat="1" x14ac:dyDescent="0.25"/>
    <row r="840" s="18" customFormat="1" x14ac:dyDescent="0.25"/>
    <row r="841" s="18" customFormat="1" x14ac:dyDescent="0.25"/>
    <row r="842" s="18" customFormat="1" x14ac:dyDescent="0.25"/>
    <row r="843" s="18" customFormat="1" x14ac:dyDescent="0.25"/>
    <row r="844" s="18" customFormat="1" x14ac:dyDescent="0.25"/>
    <row r="845" s="18" customFormat="1" x14ac:dyDescent="0.25"/>
    <row r="846" s="18" customFormat="1" x14ac:dyDescent="0.25"/>
    <row r="847" s="18" customFormat="1" x14ac:dyDescent="0.25"/>
    <row r="848" s="18" customFormat="1" x14ac:dyDescent="0.25"/>
    <row r="849" s="18" customFormat="1" x14ac:dyDescent="0.25"/>
    <row r="850" s="18" customFormat="1" x14ac:dyDescent="0.25"/>
    <row r="851" s="18" customFormat="1" x14ac:dyDescent="0.25"/>
    <row r="852" s="18" customFormat="1" x14ac:dyDescent="0.25"/>
    <row r="853" s="18" customFormat="1" x14ac:dyDescent="0.25"/>
    <row r="854" s="18" customFormat="1" x14ac:dyDescent="0.25"/>
    <row r="855" s="18" customFormat="1" x14ac:dyDescent="0.25"/>
    <row r="856" s="18" customFormat="1" x14ac:dyDescent="0.25"/>
    <row r="857" s="18" customFormat="1" x14ac:dyDescent="0.25"/>
    <row r="858" s="18" customFormat="1" x14ac:dyDescent="0.25"/>
    <row r="859" s="18" customFormat="1" x14ac:dyDescent="0.25"/>
    <row r="860" s="18" customFormat="1" x14ac:dyDescent="0.25"/>
    <row r="861" s="18" customFormat="1" x14ac:dyDescent="0.25"/>
    <row r="862" s="18" customFormat="1" x14ac:dyDescent="0.25"/>
    <row r="863" s="18" customFormat="1" x14ac:dyDescent="0.25"/>
    <row r="864" s="18" customFormat="1" x14ac:dyDescent="0.25"/>
    <row r="865" s="18" customFormat="1" x14ac:dyDescent="0.25"/>
    <row r="866" s="18" customFormat="1" x14ac:dyDescent="0.25"/>
    <row r="867" s="18" customFormat="1" x14ac:dyDescent="0.25"/>
    <row r="868" s="18" customFormat="1" x14ac:dyDescent="0.25"/>
    <row r="869" s="18" customFormat="1" x14ac:dyDescent="0.25"/>
    <row r="870" s="18" customFormat="1" x14ac:dyDescent="0.25"/>
    <row r="871" s="18" customFormat="1" x14ac:dyDescent="0.25"/>
    <row r="872" s="18" customFormat="1" x14ac:dyDescent="0.25"/>
    <row r="873" s="18" customFormat="1" x14ac:dyDescent="0.25"/>
    <row r="874" s="18" customFormat="1" x14ac:dyDescent="0.25"/>
    <row r="875" s="18" customFormat="1" x14ac:dyDescent="0.25"/>
    <row r="876" s="18" customFormat="1" x14ac:dyDescent="0.25"/>
    <row r="877" s="18" customFormat="1" x14ac:dyDescent="0.25"/>
    <row r="878" s="18" customFormat="1" x14ac:dyDescent="0.25"/>
    <row r="879" s="18" customFormat="1" x14ac:dyDescent="0.25"/>
    <row r="880" s="18" customFormat="1" x14ac:dyDescent="0.25"/>
    <row r="881" s="18" customFormat="1" x14ac:dyDescent="0.25"/>
    <row r="882" s="18" customFormat="1" x14ac:dyDescent="0.25"/>
    <row r="883" s="18" customFormat="1" x14ac:dyDescent="0.25"/>
    <row r="884" s="18" customFormat="1" x14ac:dyDescent="0.25"/>
    <row r="885" s="18" customFormat="1" x14ac:dyDescent="0.25"/>
    <row r="886" s="18" customFormat="1" x14ac:dyDescent="0.25"/>
    <row r="887" s="18" customFormat="1" x14ac:dyDescent="0.25"/>
    <row r="888" s="18" customFormat="1" x14ac:dyDescent="0.25"/>
    <row r="889" s="18" customFormat="1" x14ac:dyDescent="0.25"/>
    <row r="890" s="18" customFormat="1" x14ac:dyDescent="0.25"/>
    <row r="891" s="18" customFormat="1" x14ac:dyDescent="0.25"/>
    <row r="892" s="18" customFormat="1" x14ac:dyDescent="0.25"/>
    <row r="893" s="18" customFormat="1" x14ac:dyDescent="0.25"/>
    <row r="894" s="18" customFormat="1" x14ac:dyDescent="0.25"/>
    <row r="895" s="18" customFormat="1" x14ac:dyDescent="0.25"/>
    <row r="896" s="18" customFormat="1" x14ac:dyDescent="0.25"/>
    <row r="897" s="18" customFormat="1" x14ac:dyDescent="0.25"/>
    <row r="898" s="18" customFormat="1" x14ac:dyDescent="0.25"/>
    <row r="899" s="18" customFormat="1" x14ac:dyDescent="0.25"/>
    <row r="900" s="18" customFormat="1" x14ac:dyDescent="0.25"/>
    <row r="901" s="18" customFormat="1" x14ac:dyDescent="0.25"/>
    <row r="902" s="18" customFormat="1" x14ac:dyDescent="0.25"/>
    <row r="903" s="18" customFormat="1" x14ac:dyDescent="0.25"/>
    <row r="904" s="18" customFormat="1" x14ac:dyDescent="0.25"/>
    <row r="905" s="18" customFormat="1" x14ac:dyDescent="0.25"/>
    <row r="906" s="18" customFormat="1" x14ac:dyDescent="0.25"/>
    <row r="907" s="18" customFormat="1" x14ac:dyDescent="0.25"/>
    <row r="908" s="18" customFormat="1" x14ac:dyDescent="0.25"/>
    <row r="909" s="18" customFormat="1" x14ac:dyDescent="0.25"/>
    <row r="910" s="18" customFormat="1" x14ac:dyDescent="0.25"/>
    <row r="911" s="18" customFormat="1" x14ac:dyDescent="0.25"/>
    <row r="912" s="18" customFormat="1" x14ac:dyDescent="0.25"/>
    <row r="913" s="18" customFormat="1" x14ac:dyDescent="0.25"/>
    <row r="914" s="18" customFormat="1" x14ac:dyDescent="0.25"/>
    <row r="915" s="18" customFormat="1" x14ac:dyDescent="0.25"/>
    <row r="916" s="18" customFormat="1" x14ac:dyDescent="0.25"/>
    <row r="917" s="18" customFormat="1" x14ac:dyDescent="0.25"/>
    <row r="918" s="18" customFormat="1" x14ac:dyDescent="0.25"/>
    <row r="919" s="18" customFormat="1" x14ac:dyDescent="0.25"/>
    <row r="920" s="18" customFormat="1" x14ac:dyDescent="0.25"/>
    <row r="921" s="18" customFormat="1" x14ac:dyDescent="0.25"/>
    <row r="922" s="18" customFormat="1" x14ac:dyDescent="0.25"/>
    <row r="923" s="18" customFormat="1" x14ac:dyDescent="0.25"/>
    <row r="924" s="18" customFormat="1" x14ac:dyDescent="0.25"/>
    <row r="925" s="18" customFormat="1" x14ac:dyDescent="0.25"/>
    <row r="926" s="18" customFormat="1" x14ac:dyDescent="0.25"/>
    <row r="927" s="18" customFormat="1" x14ac:dyDescent="0.25"/>
    <row r="928" s="18" customFormat="1" x14ac:dyDescent="0.25"/>
    <row r="929" s="18" customFormat="1" x14ac:dyDescent="0.25"/>
    <row r="930" s="18" customFormat="1" x14ac:dyDescent="0.25"/>
    <row r="931" s="18" customFormat="1" x14ac:dyDescent="0.25"/>
    <row r="932" s="18" customFormat="1" x14ac:dyDescent="0.25"/>
    <row r="933" s="18" customFormat="1" x14ac:dyDescent="0.25"/>
    <row r="934" s="18" customFormat="1" x14ac:dyDescent="0.25"/>
    <row r="935" s="18" customFormat="1" x14ac:dyDescent="0.25"/>
    <row r="936" s="18" customFormat="1" x14ac:dyDescent="0.25"/>
    <row r="937" s="18" customFormat="1" x14ac:dyDescent="0.25"/>
    <row r="938" s="18" customFormat="1" x14ac:dyDescent="0.25"/>
    <row r="939" s="18" customFormat="1" x14ac:dyDescent="0.25"/>
    <row r="940" s="18" customFormat="1" x14ac:dyDescent="0.25"/>
    <row r="941" s="18" customFormat="1" x14ac:dyDescent="0.25"/>
    <row r="942" s="18" customFormat="1" x14ac:dyDescent="0.25"/>
    <row r="943" s="18" customFormat="1" x14ac:dyDescent="0.25"/>
    <row r="944" s="18" customFormat="1" x14ac:dyDescent="0.25"/>
    <row r="945" s="18" customFormat="1" x14ac:dyDescent="0.25"/>
    <row r="946" s="18" customFormat="1" x14ac:dyDescent="0.25"/>
    <row r="947" s="18" customFormat="1" x14ac:dyDescent="0.25"/>
    <row r="948" s="18" customFormat="1" x14ac:dyDescent="0.25"/>
    <row r="949" s="18" customFormat="1" x14ac:dyDescent="0.25"/>
    <row r="950" s="18" customFormat="1" x14ac:dyDescent="0.25"/>
    <row r="951" s="18" customFormat="1" x14ac:dyDescent="0.25"/>
    <row r="952" s="18" customFormat="1" x14ac:dyDescent="0.25"/>
    <row r="953" s="18" customFormat="1" x14ac:dyDescent="0.25"/>
    <row r="954" s="18" customFormat="1" x14ac:dyDescent="0.25"/>
    <row r="955" s="18" customFormat="1" x14ac:dyDescent="0.25"/>
    <row r="956" s="18" customFormat="1" x14ac:dyDescent="0.25"/>
    <row r="957" s="18" customFormat="1" x14ac:dyDescent="0.25"/>
    <row r="958" s="18" customFormat="1" x14ac:dyDescent="0.25"/>
    <row r="959" s="18" customFormat="1" x14ac:dyDescent="0.25"/>
    <row r="960" s="18" customFormat="1" x14ac:dyDescent="0.25"/>
    <row r="961" s="18" customFormat="1" x14ac:dyDescent="0.25"/>
    <row r="962" s="18" customFormat="1" x14ac:dyDescent="0.25"/>
    <row r="963" s="18" customFormat="1" x14ac:dyDescent="0.25"/>
    <row r="964" s="18" customFormat="1" x14ac:dyDescent="0.25"/>
    <row r="965" s="18" customFormat="1" x14ac:dyDescent="0.25"/>
    <row r="966" s="18" customFormat="1" x14ac:dyDescent="0.25"/>
    <row r="967" s="18" customFormat="1" x14ac:dyDescent="0.25"/>
    <row r="968" s="18" customFormat="1" x14ac:dyDescent="0.25"/>
    <row r="969" s="18" customFormat="1" x14ac:dyDescent="0.25"/>
    <row r="970" s="18" customFormat="1" x14ac:dyDescent="0.25"/>
    <row r="971" s="18" customFormat="1" x14ac:dyDescent="0.25"/>
    <row r="972" s="18" customFormat="1" x14ac:dyDescent="0.25"/>
    <row r="973" s="18" customFormat="1" x14ac:dyDescent="0.25"/>
    <row r="974" s="18" customFormat="1" x14ac:dyDescent="0.25"/>
    <row r="975" s="18" customFormat="1" x14ac:dyDescent="0.25"/>
    <row r="976" s="18" customFormat="1" x14ac:dyDescent="0.25"/>
    <row r="977" s="18" customFormat="1" x14ac:dyDescent="0.25"/>
    <row r="978" s="18" customFormat="1" x14ac:dyDescent="0.25"/>
    <row r="979" s="18" customFormat="1" x14ac:dyDescent="0.25"/>
    <row r="980" s="18" customFormat="1" x14ac:dyDescent="0.25"/>
    <row r="981" s="18" customFormat="1" x14ac:dyDescent="0.25"/>
    <row r="982" s="18" customFormat="1" x14ac:dyDescent="0.25"/>
    <row r="983" s="18" customFormat="1" x14ac:dyDescent="0.25"/>
    <row r="984" s="18" customFormat="1" x14ac:dyDescent="0.25"/>
    <row r="985" s="18" customFormat="1" x14ac:dyDescent="0.25"/>
    <row r="986" s="18" customFormat="1" x14ac:dyDescent="0.25"/>
    <row r="987" s="18" customFormat="1" x14ac:dyDescent="0.25"/>
    <row r="988" s="18" customFormat="1" x14ac:dyDescent="0.25"/>
    <row r="989" s="18" customFormat="1" x14ac:dyDescent="0.25"/>
    <row r="990" s="18" customFormat="1" x14ac:dyDescent="0.25"/>
    <row r="991" s="18" customFormat="1" x14ac:dyDescent="0.25"/>
    <row r="992" s="18" customFormat="1" x14ac:dyDescent="0.25"/>
    <row r="993" s="18" customFormat="1" x14ac:dyDescent="0.25"/>
    <row r="994" s="18" customFormat="1" x14ac:dyDescent="0.25"/>
    <row r="995" s="18" customFormat="1" x14ac:dyDescent="0.25"/>
    <row r="996" s="18" customFormat="1" x14ac:dyDescent="0.25"/>
    <row r="997" s="18" customFormat="1" x14ac:dyDescent="0.25"/>
    <row r="998" s="18" customFormat="1" x14ac:dyDescent="0.25"/>
    <row r="999" s="18" customFormat="1" x14ac:dyDescent="0.25"/>
    <row r="1000" s="18" customFormat="1" x14ac:dyDescent="0.25"/>
    <row r="1001" s="18" customFormat="1" x14ac:dyDescent="0.25"/>
    <row r="1002" s="18" customFormat="1" x14ac:dyDescent="0.25"/>
    <row r="1003" s="18" customFormat="1" x14ac:dyDescent="0.25"/>
    <row r="1004" s="18" customFormat="1" x14ac:dyDescent="0.25"/>
    <row r="1005" s="18" customFormat="1" x14ac:dyDescent="0.25"/>
    <row r="1006" s="18" customFormat="1" x14ac:dyDescent="0.25"/>
    <row r="1007" s="18" customFormat="1" x14ac:dyDescent="0.25"/>
    <row r="1008" s="18" customFormat="1" x14ac:dyDescent="0.25"/>
    <row r="1009" s="18" customFormat="1" x14ac:dyDescent="0.25"/>
    <row r="1010" s="18" customFormat="1" x14ac:dyDescent="0.25"/>
    <row r="1011" s="18" customFormat="1" x14ac:dyDescent="0.25"/>
    <row r="1012" s="18" customFormat="1" x14ac:dyDescent="0.25"/>
    <row r="1013" s="18" customFormat="1" x14ac:dyDescent="0.25"/>
    <row r="1014" s="18" customFormat="1" x14ac:dyDescent="0.25"/>
    <row r="1015" s="18" customFormat="1" x14ac:dyDescent="0.25"/>
    <row r="1016" s="18" customFormat="1" x14ac:dyDescent="0.25"/>
    <row r="1017" s="18" customFormat="1" x14ac:dyDescent="0.25"/>
    <row r="1018" s="18" customFormat="1" x14ac:dyDescent="0.25"/>
    <row r="1019" s="18" customFormat="1" x14ac:dyDescent="0.25"/>
    <row r="1020" s="18" customFormat="1" x14ac:dyDescent="0.25"/>
    <row r="1021" s="18" customFormat="1" x14ac:dyDescent="0.25"/>
    <row r="1022" s="18" customFormat="1" x14ac:dyDescent="0.25"/>
    <row r="1023" s="18" customFormat="1" x14ac:dyDescent="0.25"/>
    <row r="1024" s="18" customFormat="1" x14ac:dyDescent="0.25"/>
    <row r="1025" s="18" customFormat="1" x14ac:dyDescent="0.25"/>
    <row r="1026" s="18" customFormat="1" x14ac:dyDescent="0.25"/>
    <row r="1027" s="18" customFormat="1" x14ac:dyDescent="0.25"/>
    <row r="1028" s="18" customFormat="1" x14ac:dyDescent="0.25"/>
    <row r="1029" s="18" customFormat="1" x14ac:dyDescent="0.25"/>
    <row r="1030" s="18" customFormat="1" x14ac:dyDescent="0.25"/>
    <row r="1031" s="18" customFormat="1" x14ac:dyDescent="0.25"/>
    <row r="1032" s="18" customFormat="1" x14ac:dyDescent="0.25"/>
    <row r="1033" s="18" customFormat="1" x14ac:dyDescent="0.25"/>
    <row r="1034" s="18" customFormat="1" x14ac:dyDescent="0.25"/>
    <row r="1035" s="18" customFormat="1" x14ac:dyDescent="0.25"/>
    <row r="1036" s="18" customFormat="1" x14ac:dyDescent="0.25"/>
    <row r="1037" s="18" customFormat="1" x14ac:dyDescent="0.25"/>
    <row r="1038" s="18" customFormat="1" x14ac:dyDescent="0.25"/>
    <row r="1039" s="18" customFormat="1" x14ac:dyDescent="0.25"/>
    <row r="1040" s="18" customFormat="1" x14ac:dyDescent="0.25"/>
    <row r="1041" s="18" customFormat="1" x14ac:dyDescent="0.25"/>
    <row r="1042" s="18" customFormat="1" x14ac:dyDescent="0.25"/>
    <row r="1043" s="18" customFormat="1" x14ac:dyDescent="0.25"/>
    <row r="1044" s="18" customFormat="1" x14ac:dyDescent="0.25"/>
    <row r="1045" s="18" customFormat="1" x14ac:dyDescent="0.25"/>
    <row r="1046" s="18" customFormat="1" x14ac:dyDescent="0.25"/>
    <row r="1047" s="18" customFormat="1" x14ac:dyDescent="0.25"/>
    <row r="1048" s="18" customFormat="1" x14ac:dyDescent="0.25"/>
    <row r="1049" s="18" customFormat="1" x14ac:dyDescent="0.25"/>
    <row r="1050" s="18" customFormat="1" x14ac:dyDescent="0.25"/>
    <row r="1051" s="18" customFormat="1" x14ac:dyDescent="0.25"/>
    <row r="1052" s="18" customFormat="1" x14ac:dyDescent="0.25"/>
    <row r="1053" s="18" customFormat="1" x14ac:dyDescent="0.25"/>
    <row r="1054" s="18" customFormat="1" x14ac:dyDescent="0.25"/>
    <row r="1055" s="18" customFormat="1" x14ac:dyDescent="0.25"/>
    <row r="1056" s="18" customFormat="1" x14ac:dyDescent="0.25"/>
    <row r="1057" s="18" customFormat="1" x14ac:dyDescent="0.25"/>
    <row r="1058" s="18" customFormat="1" x14ac:dyDescent="0.25"/>
    <row r="1059" s="18" customFormat="1" x14ac:dyDescent="0.25"/>
    <row r="1060" s="18" customFormat="1" x14ac:dyDescent="0.25"/>
    <row r="1061" s="18" customFormat="1" x14ac:dyDescent="0.25"/>
    <row r="1062" s="18" customFormat="1" x14ac:dyDescent="0.25"/>
    <row r="1063" s="18" customFormat="1" x14ac:dyDescent="0.25"/>
    <row r="1064" s="18" customFormat="1" x14ac:dyDescent="0.25"/>
    <row r="1065" s="18" customFormat="1" x14ac:dyDescent="0.25"/>
    <row r="1066" s="18" customFormat="1" x14ac:dyDescent="0.25"/>
    <row r="1067" s="18" customFormat="1" x14ac:dyDescent="0.25"/>
    <row r="1068" s="18" customFormat="1" x14ac:dyDescent="0.25"/>
    <row r="1069" s="18" customFormat="1" x14ac:dyDescent="0.25"/>
    <row r="1070" s="18" customFormat="1" x14ac:dyDescent="0.25"/>
    <row r="1071" s="18" customFormat="1" x14ac:dyDescent="0.25"/>
    <row r="1072" s="18" customFormat="1" x14ac:dyDescent="0.25"/>
    <row r="1073" s="18" customFormat="1" x14ac:dyDescent="0.25"/>
    <row r="1074" s="18" customFormat="1" x14ac:dyDescent="0.25"/>
    <row r="1075" s="18" customFormat="1" x14ac:dyDescent="0.25"/>
    <row r="1076" s="18" customFormat="1" x14ac:dyDescent="0.25"/>
    <row r="1077" s="18" customFormat="1" x14ac:dyDescent="0.25"/>
    <row r="1078" s="18" customFormat="1" x14ac:dyDescent="0.25"/>
    <row r="1079" s="18" customFormat="1" x14ac:dyDescent="0.25"/>
    <row r="1080" s="18" customFormat="1" x14ac:dyDescent="0.25"/>
    <row r="1081" s="18" customFormat="1" x14ac:dyDescent="0.25"/>
    <row r="1082" s="18" customFormat="1" x14ac:dyDescent="0.25"/>
    <row r="1083" s="18" customFormat="1" x14ac:dyDescent="0.25"/>
    <row r="1084" s="18" customFormat="1" x14ac:dyDescent="0.25"/>
    <row r="1085" s="18" customFormat="1" x14ac:dyDescent="0.25"/>
    <row r="1086" s="18" customFormat="1" x14ac:dyDescent="0.25"/>
    <row r="1087" s="18" customFormat="1" x14ac:dyDescent="0.25"/>
    <row r="1088" s="18" customFormat="1" x14ac:dyDescent="0.25"/>
    <row r="1089" s="18" customFormat="1" x14ac:dyDescent="0.25"/>
    <row r="1090" s="18" customFormat="1" x14ac:dyDescent="0.25"/>
    <row r="1091" s="18" customFormat="1" x14ac:dyDescent="0.25"/>
    <row r="1092" s="18" customFormat="1" x14ac:dyDescent="0.25"/>
    <row r="1093" s="18" customFormat="1" x14ac:dyDescent="0.25"/>
    <row r="1094" s="18" customFormat="1" x14ac:dyDescent="0.25"/>
    <row r="1095" s="18" customFormat="1" x14ac:dyDescent="0.25"/>
    <row r="1096" s="18" customFormat="1" x14ac:dyDescent="0.25"/>
    <row r="1097" s="18" customFormat="1" x14ac:dyDescent="0.25"/>
    <row r="1098" s="18" customFormat="1" x14ac:dyDescent="0.25"/>
    <row r="1099" s="18" customFormat="1" x14ac:dyDescent="0.25"/>
    <row r="1100" s="18" customFormat="1" x14ac:dyDescent="0.25"/>
    <row r="1101" s="18" customFormat="1" x14ac:dyDescent="0.25"/>
    <row r="1102" s="18" customFormat="1" x14ac:dyDescent="0.25"/>
    <row r="1103" s="18" customFormat="1" x14ac:dyDescent="0.25"/>
    <row r="1104" s="18" customFormat="1" x14ac:dyDescent="0.25"/>
    <row r="1105" s="18" customFormat="1" x14ac:dyDescent="0.25"/>
    <row r="1106" s="18" customFormat="1" x14ac:dyDescent="0.25"/>
    <row r="1107" s="18" customFormat="1" x14ac:dyDescent="0.25"/>
    <row r="1108" s="18" customFormat="1" x14ac:dyDescent="0.25"/>
    <row r="1109" s="18" customFormat="1" x14ac:dyDescent="0.25"/>
    <row r="1110" s="18" customFormat="1" x14ac:dyDescent="0.25"/>
    <row r="1111" s="18" customFormat="1" x14ac:dyDescent="0.25"/>
    <row r="1112" s="18" customFormat="1" x14ac:dyDescent="0.25"/>
    <row r="1113" s="18" customFormat="1" x14ac:dyDescent="0.25"/>
    <row r="1114" s="18" customFormat="1" x14ac:dyDescent="0.25"/>
    <row r="1115" s="18" customFormat="1" x14ac:dyDescent="0.25"/>
    <row r="1116" s="18" customFormat="1" x14ac:dyDescent="0.25"/>
    <row r="1117" s="18" customFormat="1" x14ac:dyDescent="0.25"/>
    <row r="1118" s="18" customFormat="1" x14ac:dyDescent="0.25"/>
    <row r="1119" s="18" customFormat="1" x14ac:dyDescent="0.25"/>
    <row r="1120" s="18" customFormat="1" x14ac:dyDescent="0.25"/>
    <row r="1121" s="18" customFormat="1" x14ac:dyDescent="0.25"/>
    <row r="1122" s="18" customFormat="1" x14ac:dyDescent="0.25"/>
    <row r="1123" s="18" customFormat="1" x14ac:dyDescent="0.25"/>
    <row r="1124" s="18" customFormat="1" x14ac:dyDescent="0.25"/>
    <row r="1125" s="18" customFormat="1" x14ac:dyDescent="0.25"/>
    <row r="1126" s="18" customFormat="1" x14ac:dyDescent="0.25"/>
    <row r="1127" s="18" customFormat="1" x14ac:dyDescent="0.25"/>
    <row r="1128" s="18" customFormat="1" x14ac:dyDescent="0.25"/>
    <row r="1129" s="18" customFormat="1" x14ac:dyDescent="0.25"/>
    <row r="1130" s="18" customFormat="1" x14ac:dyDescent="0.25"/>
    <row r="1131" s="18" customFormat="1" x14ac:dyDescent="0.25"/>
    <row r="1132" s="18" customFormat="1" x14ac:dyDescent="0.25"/>
    <row r="1133" s="18" customFormat="1" x14ac:dyDescent="0.25"/>
    <row r="1134" s="18" customFormat="1" x14ac:dyDescent="0.25"/>
    <row r="1135" s="18" customFormat="1" x14ac:dyDescent="0.25"/>
    <row r="1136" s="18" customFormat="1" x14ac:dyDescent="0.25"/>
    <row r="1137" s="18" customFormat="1" x14ac:dyDescent="0.25"/>
    <row r="1138" s="18" customFormat="1" x14ac:dyDescent="0.25"/>
    <row r="1139" s="18" customFormat="1" x14ac:dyDescent="0.25"/>
    <row r="1140" s="18" customFormat="1" x14ac:dyDescent="0.25"/>
    <row r="1141" s="18" customFormat="1" x14ac:dyDescent="0.25"/>
    <row r="1142" s="18" customFormat="1" x14ac:dyDescent="0.25"/>
    <row r="1143" s="18" customFormat="1" x14ac:dyDescent="0.25"/>
    <row r="1144" s="18" customFormat="1" x14ac:dyDescent="0.25"/>
    <row r="1145" s="18" customFormat="1" x14ac:dyDescent="0.25"/>
    <row r="1146" s="18" customFormat="1" x14ac:dyDescent="0.25"/>
    <row r="1147" s="18" customFormat="1" x14ac:dyDescent="0.25"/>
    <row r="1148" s="18" customFormat="1" x14ac:dyDescent="0.25"/>
    <row r="1149" s="18" customFormat="1" x14ac:dyDescent="0.25"/>
    <row r="1150" s="18" customFormat="1" x14ac:dyDescent="0.25"/>
    <row r="1151" s="18" customFormat="1" x14ac:dyDescent="0.25"/>
    <row r="1152" s="18" customFormat="1" x14ac:dyDescent="0.25"/>
    <row r="1153" s="18" customFormat="1" x14ac:dyDescent="0.25"/>
    <row r="1154" s="18" customFormat="1" x14ac:dyDescent="0.25"/>
    <row r="1155" s="18" customFormat="1" x14ac:dyDescent="0.25"/>
    <row r="1156" s="18" customFormat="1" x14ac:dyDescent="0.25"/>
    <row r="1157" s="18" customFormat="1" x14ac:dyDescent="0.25"/>
    <row r="1158" s="18" customFormat="1" x14ac:dyDescent="0.25"/>
    <row r="1159" s="18" customFormat="1" x14ac:dyDescent="0.25"/>
    <row r="1160" s="18" customFormat="1" x14ac:dyDescent="0.25"/>
    <row r="1161" s="18" customFormat="1" x14ac:dyDescent="0.25"/>
    <row r="1162" s="18" customFormat="1" x14ac:dyDescent="0.25"/>
    <row r="1163" s="18" customFormat="1" x14ac:dyDescent="0.25"/>
    <row r="1164" s="18" customFormat="1" x14ac:dyDescent="0.25"/>
    <row r="1165" s="18" customFormat="1" x14ac:dyDescent="0.25"/>
    <row r="1166" s="18" customFormat="1" x14ac:dyDescent="0.25"/>
    <row r="1167" s="18" customFormat="1" x14ac:dyDescent="0.25"/>
    <row r="1168" s="18" customFormat="1" x14ac:dyDescent="0.25"/>
    <row r="1169" s="18" customFormat="1" x14ac:dyDescent="0.25"/>
    <row r="1170" s="18" customFormat="1" x14ac:dyDescent="0.25"/>
    <row r="1171" s="18" customFormat="1" x14ac:dyDescent="0.25"/>
    <row r="1172" s="18" customFormat="1" x14ac:dyDescent="0.25"/>
    <row r="1173" s="18" customFormat="1" x14ac:dyDescent="0.25"/>
    <row r="1174" s="18" customFormat="1" x14ac:dyDescent="0.25"/>
    <row r="1175" s="18" customFormat="1" x14ac:dyDescent="0.25"/>
    <row r="1176" s="18" customFormat="1" x14ac:dyDescent="0.25"/>
    <row r="1177" s="18" customFormat="1" x14ac:dyDescent="0.25"/>
    <row r="1178" s="18" customFormat="1" x14ac:dyDescent="0.25"/>
    <row r="1179" s="18" customFormat="1" x14ac:dyDescent="0.25"/>
    <row r="1180" s="18" customFormat="1" x14ac:dyDescent="0.25"/>
    <row r="1181" s="18" customFormat="1" x14ac:dyDescent="0.25"/>
    <row r="1182" s="18" customFormat="1" x14ac:dyDescent="0.25"/>
    <row r="1183" s="18" customFormat="1" x14ac:dyDescent="0.25"/>
    <row r="1184" s="18" customFormat="1" x14ac:dyDescent="0.25"/>
    <row r="1185" s="18" customFormat="1" x14ac:dyDescent="0.25"/>
    <row r="1186" s="18" customFormat="1" x14ac:dyDescent="0.25"/>
    <row r="1187" s="18" customFormat="1" x14ac:dyDescent="0.25"/>
    <row r="1188" s="18" customFormat="1" x14ac:dyDescent="0.25"/>
    <row r="1189" s="18" customFormat="1" x14ac:dyDescent="0.25"/>
    <row r="1190" s="18" customFormat="1" x14ac:dyDescent="0.25"/>
    <row r="1191" s="18" customFormat="1" x14ac:dyDescent="0.25"/>
    <row r="1192" s="18" customFormat="1" x14ac:dyDescent="0.25"/>
    <row r="1193" s="18" customFormat="1" x14ac:dyDescent="0.25"/>
    <row r="1194" s="18" customFormat="1" x14ac:dyDescent="0.25"/>
    <row r="1195" s="18" customFormat="1" x14ac:dyDescent="0.25"/>
    <row r="1196" s="18" customFormat="1" x14ac:dyDescent="0.25"/>
    <row r="1197" s="18" customFormat="1" x14ac:dyDescent="0.25"/>
    <row r="1198" s="18" customFormat="1" x14ac:dyDescent="0.25"/>
    <row r="1199" s="18" customFormat="1" x14ac:dyDescent="0.25"/>
    <row r="1200" s="18" customFormat="1" x14ac:dyDescent="0.25"/>
    <row r="1201" s="18" customFormat="1" x14ac:dyDescent="0.25"/>
    <row r="1202" s="18" customFormat="1" x14ac:dyDescent="0.25"/>
    <row r="1203" s="18" customFormat="1" x14ac:dyDescent="0.25"/>
    <row r="1204" s="18" customFormat="1" x14ac:dyDescent="0.25"/>
    <row r="1205" s="18" customFormat="1" x14ac:dyDescent="0.25"/>
    <row r="1206" s="18" customFormat="1" x14ac:dyDescent="0.25"/>
    <row r="1207" s="18" customFormat="1" x14ac:dyDescent="0.25"/>
    <row r="1208" s="18" customFormat="1" x14ac:dyDescent="0.25"/>
    <row r="1209" s="18" customFormat="1" x14ac:dyDescent="0.25"/>
    <row r="1210" s="18" customFormat="1" x14ac:dyDescent="0.25"/>
    <row r="1211" s="18" customFormat="1" x14ac:dyDescent="0.25"/>
    <row r="1212" s="18" customFormat="1" x14ac:dyDescent="0.25"/>
    <row r="1213" s="18" customFormat="1" x14ac:dyDescent="0.25"/>
    <row r="1214" s="18" customFormat="1" x14ac:dyDescent="0.25"/>
    <row r="1215" s="18" customFormat="1" x14ac:dyDescent="0.25"/>
    <row r="1216" s="18" customFormat="1" x14ac:dyDescent="0.25"/>
    <row r="1217" s="18" customFormat="1" x14ac:dyDescent="0.25"/>
    <row r="1218" s="18" customFormat="1" x14ac:dyDescent="0.25"/>
    <row r="1219" s="18" customFormat="1" x14ac:dyDescent="0.25"/>
    <row r="1220" s="18" customFormat="1" x14ac:dyDescent="0.25"/>
    <row r="1221" s="18" customFormat="1" x14ac:dyDescent="0.25"/>
    <row r="1222" s="18" customFormat="1" x14ac:dyDescent="0.25"/>
    <row r="1223" s="18" customFormat="1" x14ac:dyDescent="0.25"/>
    <row r="1224" s="18" customFormat="1" x14ac:dyDescent="0.25"/>
    <row r="1225" s="18" customFormat="1" x14ac:dyDescent="0.25"/>
    <row r="1226" s="18" customFormat="1" x14ac:dyDescent="0.25"/>
    <row r="1227" s="18" customFormat="1" x14ac:dyDescent="0.25"/>
    <row r="1228" s="18" customFormat="1" x14ac:dyDescent="0.25"/>
    <row r="1229" s="18" customFormat="1" x14ac:dyDescent="0.25"/>
    <row r="1230" s="18" customFormat="1" x14ac:dyDescent="0.25"/>
    <row r="1231" s="18" customFormat="1" x14ac:dyDescent="0.25"/>
    <row r="1232" s="18" customFormat="1" x14ac:dyDescent="0.25"/>
    <row r="1233" s="18" customFormat="1" x14ac:dyDescent="0.25"/>
    <row r="1234" s="18" customFormat="1" x14ac:dyDescent="0.25"/>
    <row r="1235" s="18" customFormat="1" x14ac:dyDescent="0.25"/>
    <row r="1236" s="18" customFormat="1" x14ac:dyDescent="0.25"/>
    <row r="1237" s="18" customFormat="1" x14ac:dyDescent="0.25"/>
    <row r="1238" s="18" customFormat="1" x14ac:dyDescent="0.25"/>
    <row r="1239" s="18" customFormat="1" x14ac:dyDescent="0.25"/>
    <row r="1240" s="18" customFormat="1" x14ac:dyDescent="0.25"/>
    <row r="1241" s="18" customFormat="1" x14ac:dyDescent="0.25"/>
    <row r="1242" s="18" customFormat="1" x14ac:dyDescent="0.25"/>
    <row r="1243" s="18" customFormat="1" x14ac:dyDescent="0.25"/>
    <row r="1244" s="18" customFormat="1" x14ac:dyDescent="0.25"/>
    <row r="1245" s="18" customFormat="1" x14ac:dyDescent="0.25"/>
    <row r="1246" s="18" customFormat="1" x14ac:dyDescent="0.25"/>
    <row r="1247" s="18" customFormat="1" x14ac:dyDescent="0.25"/>
    <row r="1248" s="18" customFormat="1" x14ac:dyDescent="0.25"/>
    <row r="1249" s="18" customFormat="1" x14ac:dyDescent="0.25"/>
    <row r="1250" s="18" customFormat="1" x14ac:dyDescent="0.25"/>
    <row r="1251" s="18" customFormat="1" x14ac:dyDescent="0.25"/>
    <row r="1252" s="18" customFormat="1" x14ac:dyDescent="0.25"/>
    <row r="1253" s="18" customFormat="1" x14ac:dyDescent="0.25"/>
    <row r="1254" s="18" customFormat="1" x14ac:dyDescent="0.25"/>
    <row r="1255" s="18" customFormat="1" x14ac:dyDescent="0.25"/>
    <row r="1256" s="18" customFormat="1" x14ac:dyDescent="0.25"/>
    <row r="1257" s="18" customFormat="1" x14ac:dyDescent="0.25"/>
    <row r="1258" s="18" customFormat="1" x14ac:dyDescent="0.25"/>
    <row r="1259" s="18" customFormat="1" x14ac:dyDescent="0.25"/>
    <row r="1260" s="18" customFormat="1" x14ac:dyDescent="0.25"/>
    <row r="1261" s="18" customFormat="1" x14ac:dyDescent="0.25"/>
    <row r="1262" s="18" customFormat="1" x14ac:dyDescent="0.25"/>
    <row r="1263" s="18" customFormat="1" x14ac:dyDescent="0.25"/>
    <row r="1264" s="18" customFormat="1" x14ac:dyDescent="0.25"/>
    <row r="1265" s="18" customFormat="1" x14ac:dyDescent="0.25"/>
    <row r="1266" s="18" customFormat="1" x14ac:dyDescent="0.25"/>
    <row r="1267" s="18" customFormat="1" x14ac:dyDescent="0.25"/>
    <row r="1268" s="18" customFormat="1" x14ac:dyDescent="0.25"/>
    <row r="1269" s="18" customFormat="1" x14ac:dyDescent="0.25"/>
    <row r="1270" s="18" customFormat="1" x14ac:dyDescent="0.25"/>
    <row r="1271" s="18" customFormat="1" x14ac:dyDescent="0.25"/>
    <row r="1272" s="18" customFormat="1" x14ac:dyDescent="0.25"/>
    <row r="1273" s="18" customFormat="1" x14ac:dyDescent="0.25"/>
    <row r="1274" s="18" customFormat="1" x14ac:dyDescent="0.25"/>
    <row r="1275" s="18" customFormat="1" x14ac:dyDescent="0.25"/>
    <row r="1276" s="18" customFormat="1" x14ac:dyDescent="0.25"/>
    <row r="1277" s="18" customFormat="1" x14ac:dyDescent="0.25"/>
    <row r="1278" s="18" customFormat="1" x14ac:dyDescent="0.25"/>
    <row r="1279" s="18" customFormat="1" x14ac:dyDescent="0.25"/>
    <row r="1280" s="18" customFormat="1" x14ac:dyDescent="0.25"/>
    <row r="1281" s="18" customFormat="1" x14ac:dyDescent="0.25"/>
    <row r="1282" s="18" customFormat="1" x14ac:dyDescent="0.25"/>
    <row r="1283" s="18" customFormat="1" x14ac:dyDescent="0.25"/>
    <row r="1284" s="18" customFormat="1" x14ac:dyDescent="0.25"/>
    <row r="1285" s="18" customFormat="1" x14ac:dyDescent="0.25"/>
    <row r="1286" s="18" customFormat="1" x14ac:dyDescent="0.25"/>
    <row r="1287" s="18" customFormat="1" x14ac:dyDescent="0.25"/>
    <row r="1288" s="18" customFormat="1" x14ac:dyDescent="0.25"/>
    <row r="1289" s="18" customFormat="1" x14ac:dyDescent="0.25"/>
    <row r="1290" s="18" customFormat="1" x14ac:dyDescent="0.25"/>
    <row r="1291" s="18" customFormat="1" x14ac:dyDescent="0.25"/>
    <row r="1292" s="18" customFormat="1" x14ac:dyDescent="0.25"/>
    <row r="1293" s="18" customFormat="1" x14ac:dyDescent="0.25"/>
    <row r="1294" s="18" customFormat="1" x14ac:dyDescent="0.25"/>
    <row r="1295" s="18" customFormat="1" x14ac:dyDescent="0.25"/>
    <row r="1296" s="18" customFormat="1" x14ac:dyDescent="0.25"/>
    <row r="1297" s="18" customFormat="1" x14ac:dyDescent="0.25"/>
    <row r="1298" s="18" customFormat="1" x14ac:dyDescent="0.25"/>
    <row r="1299" s="18" customFormat="1" x14ac:dyDescent="0.25"/>
    <row r="1300" s="18" customFormat="1" x14ac:dyDescent="0.25"/>
    <row r="1301" s="18" customFormat="1" x14ac:dyDescent="0.25"/>
    <row r="1302" s="18" customFormat="1" x14ac:dyDescent="0.25"/>
    <row r="1303" s="18" customFormat="1" x14ac:dyDescent="0.25"/>
    <row r="1304" s="18" customFormat="1" x14ac:dyDescent="0.25"/>
    <row r="1305" s="18" customFormat="1" x14ac:dyDescent="0.25"/>
    <row r="1306" s="18" customFormat="1" x14ac:dyDescent="0.25"/>
    <row r="1307" s="18" customFormat="1" x14ac:dyDescent="0.25"/>
    <row r="1308" s="18" customFormat="1" x14ac:dyDescent="0.25"/>
    <row r="1309" s="18" customFormat="1" x14ac:dyDescent="0.25"/>
    <row r="1310" s="18" customFormat="1" x14ac:dyDescent="0.25"/>
    <row r="1311" s="18" customFormat="1" x14ac:dyDescent="0.25"/>
    <row r="1312" s="18" customFormat="1" x14ac:dyDescent="0.25"/>
    <row r="1313" s="18" customFormat="1" x14ac:dyDescent="0.25"/>
    <row r="1314" s="18" customFormat="1" x14ac:dyDescent="0.25"/>
    <row r="1315" s="18" customFormat="1" x14ac:dyDescent="0.25"/>
    <row r="1316" s="18" customFormat="1" x14ac:dyDescent="0.25"/>
    <row r="1317" s="18" customFormat="1" x14ac:dyDescent="0.25"/>
    <row r="1318" s="18" customFormat="1" x14ac:dyDescent="0.25"/>
    <row r="1319" s="18" customFormat="1" x14ac:dyDescent="0.25"/>
    <row r="1320" s="18" customFormat="1" x14ac:dyDescent="0.25"/>
    <row r="1321" s="18" customFormat="1" x14ac:dyDescent="0.25"/>
    <row r="1322" s="18" customFormat="1" x14ac:dyDescent="0.25"/>
    <row r="1323" s="18" customFormat="1" x14ac:dyDescent="0.25"/>
    <row r="1324" s="18" customFormat="1" x14ac:dyDescent="0.25"/>
    <row r="1325" s="18" customFormat="1" x14ac:dyDescent="0.25"/>
    <row r="1326" s="18" customFormat="1" x14ac:dyDescent="0.25"/>
    <row r="1327" s="18" customFormat="1" x14ac:dyDescent="0.25"/>
    <row r="1328" s="18" customFormat="1" x14ac:dyDescent="0.25"/>
    <row r="1329" s="18" customFormat="1" x14ac:dyDescent="0.25"/>
    <row r="1330" s="18" customFormat="1" x14ac:dyDescent="0.25"/>
    <row r="1331" s="18" customFormat="1" x14ac:dyDescent="0.25"/>
    <row r="1332" s="18" customFormat="1" x14ac:dyDescent="0.25"/>
    <row r="1333" s="18" customFormat="1" x14ac:dyDescent="0.25"/>
    <row r="1334" s="18" customFormat="1" x14ac:dyDescent="0.25"/>
    <row r="1335" s="18" customFormat="1" x14ac:dyDescent="0.25"/>
    <row r="1336" s="18" customFormat="1" x14ac:dyDescent="0.25"/>
    <row r="1337" s="18" customFormat="1" x14ac:dyDescent="0.25"/>
    <row r="1338" s="18" customFormat="1" x14ac:dyDescent="0.25"/>
    <row r="1339" s="18" customFormat="1" x14ac:dyDescent="0.25"/>
    <row r="1340" s="18" customFormat="1" x14ac:dyDescent="0.25"/>
    <row r="1341" s="18" customFormat="1" x14ac:dyDescent="0.25"/>
    <row r="1342" s="18" customFormat="1" x14ac:dyDescent="0.25"/>
    <row r="1343" s="18" customFormat="1" x14ac:dyDescent="0.25"/>
    <row r="1344" s="18" customFormat="1" x14ac:dyDescent="0.25"/>
    <row r="1345" s="18" customFormat="1" x14ac:dyDescent="0.25"/>
    <row r="1346" s="18" customFormat="1" x14ac:dyDescent="0.25"/>
    <row r="1347" s="18" customFormat="1" x14ac:dyDescent="0.25"/>
    <row r="1348" s="18" customFormat="1" x14ac:dyDescent="0.25"/>
    <row r="1349" s="18" customFormat="1" x14ac:dyDescent="0.25"/>
    <row r="1350" s="18" customFormat="1" x14ac:dyDescent="0.25"/>
    <row r="1351" s="18" customFormat="1" x14ac:dyDescent="0.25"/>
    <row r="1352" s="18" customFormat="1" x14ac:dyDescent="0.25"/>
    <row r="1353" s="18" customFormat="1" x14ac:dyDescent="0.25"/>
    <row r="1354" s="18" customFormat="1" x14ac:dyDescent="0.25"/>
    <row r="1355" s="18" customFormat="1" x14ac:dyDescent="0.25"/>
    <row r="1356" s="18" customFormat="1" x14ac:dyDescent="0.25"/>
    <row r="1357" s="18" customFormat="1" x14ac:dyDescent="0.25"/>
    <row r="1358" s="18" customFormat="1" x14ac:dyDescent="0.25"/>
    <row r="1359" s="18" customFormat="1" x14ac:dyDescent="0.25"/>
    <row r="1360" s="18" customFormat="1" x14ac:dyDescent="0.25"/>
    <row r="1361" s="18" customFormat="1" x14ac:dyDescent="0.25"/>
    <row r="1362" s="18" customFormat="1" x14ac:dyDescent="0.25"/>
    <row r="1363" s="18" customFormat="1" x14ac:dyDescent="0.25"/>
    <row r="1364" s="18" customFormat="1" x14ac:dyDescent="0.25"/>
    <row r="1365" s="18" customFormat="1" x14ac:dyDescent="0.25"/>
    <row r="1366" s="18" customFormat="1" x14ac:dyDescent="0.25"/>
    <row r="1367" s="18" customFormat="1" x14ac:dyDescent="0.25"/>
    <row r="1368" s="18" customFormat="1" x14ac:dyDescent="0.25"/>
    <row r="1369" s="18" customFormat="1" x14ac:dyDescent="0.25"/>
    <row r="1370" s="18" customFormat="1" x14ac:dyDescent="0.25"/>
    <row r="1371" s="18" customFormat="1" x14ac:dyDescent="0.25"/>
    <row r="1372" s="18" customFormat="1" x14ac:dyDescent="0.25"/>
    <row r="1373" s="18" customFormat="1" x14ac:dyDescent="0.25"/>
    <row r="1374" s="18" customFormat="1" x14ac:dyDescent="0.25"/>
    <row r="1375" s="18" customFormat="1" x14ac:dyDescent="0.25"/>
    <row r="1376" s="18" customFormat="1" x14ac:dyDescent="0.25"/>
    <row r="1377" s="18" customFormat="1" x14ac:dyDescent="0.25"/>
    <row r="1378" s="18" customFormat="1" x14ac:dyDescent="0.25"/>
    <row r="1379" s="18" customFormat="1" x14ac:dyDescent="0.25"/>
    <row r="1380" s="18" customFormat="1" x14ac:dyDescent="0.25"/>
    <row r="1381" s="18" customFormat="1" x14ac:dyDescent="0.25"/>
    <row r="1382" s="18" customFormat="1" x14ac:dyDescent="0.25"/>
    <row r="1383" s="18" customFormat="1" x14ac:dyDescent="0.25"/>
    <row r="1384" s="18" customFormat="1" x14ac:dyDescent="0.25"/>
    <row r="1385" s="18" customFormat="1" x14ac:dyDescent="0.25"/>
    <row r="1386" s="18" customFormat="1" x14ac:dyDescent="0.25"/>
    <row r="1387" s="18" customFormat="1" x14ac:dyDescent="0.25"/>
    <row r="1388" s="18" customFormat="1" x14ac:dyDescent="0.25"/>
    <row r="1389" s="18" customFormat="1" x14ac:dyDescent="0.25"/>
    <row r="1390" s="18" customFormat="1" x14ac:dyDescent="0.25"/>
    <row r="1391" s="18" customFormat="1" x14ac:dyDescent="0.25"/>
    <row r="1392" s="18" customFormat="1" x14ac:dyDescent="0.25"/>
    <row r="1393" s="18" customFormat="1" x14ac:dyDescent="0.25"/>
    <row r="1394" s="18" customFormat="1" x14ac:dyDescent="0.25"/>
    <row r="1395" s="18" customFormat="1" x14ac:dyDescent="0.25"/>
    <row r="1396" s="18" customFormat="1" x14ac:dyDescent="0.25"/>
    <row r="1397" s="18" customFormat="1" x14ac:dyDescent="0.25"/>
    <row r="1398" s="18" customFormat="1" x14ac:dyDescent="0.25"/>
    <row r="1399" s="18" customFormat="1" x14ac:dyDescent="0.25"/>
    <row r="1400" s="18" customFormat="1" x14ac:dyDescent="0.25"/>
    <row r="1401" s="18" customFormat="1" x14ac:dyDescent="0.25"/>
    <row r="1402" s="18" customFormat="1" x14ac:dyDescent="0.25"/>
    <row r="1403" s="18" customFormat="1" x14ac:dyDescent="0.25"/>
    <row r="1404" s="18" customFormat="1" x14ac:dyDescent="0.25"/>
    <row r="1405" s="18" customFormat="1" x14ac:dyDescent="0.25"/>
    <row r="1406" s="18" customFormat="1" x14ac:dyDescent="0.25"/>
    <row r="1407" s="18" customFormat="1" x14ac:dyDescent="0.25"/>
    <row r="1408" s="18" customFormat="1" x14ac:dyDescent="0.25"/>
    <row r="1409" s="18" customFormat="1" x14ac:dyDescent="0.25"/>
    <row r="1410" s="18" customFormat="1" x14ac:dyDescent="0.25"/>
    <row r="1411" s="18" customFormat="1" x14ac:dyDescent="0.25"/>
    <row r="1412" s="18" customFormat="1" x14ac:dyDescent="0.25"/>
    <row r="1413" s="18" customFormat="1" x14ac:dyDescent="0.25"/>
    <row r="1414" s="18" customFormat="1" x14ac:dyDescent="0.25"/>
    <row r="1415" s="18" customFormat="1" x14ac:dyDescent="0.25"/>
    <row r="1416" s="18" customFormat="1" x14ac:dyDescent="0.25"/>
    <row r="1417" s="18" customFormat="1" x14ac:dyDescent="0.25"/>
    <row r="1418" s="18" customFormat="1" x14ac:dyDescent="0.25"/>
    <row r="1419" s="18" customFormat="1" x14ac:dyDescent="0.25"/>
    <row r="1420" s="18" customFormat="1" x14ac:dyDescent="0.25"/>
    <row r="1421" s="18" customFormat="1" x14ac:dyDescent="0.25"/>
    <row r="1422" s="18" customFormat="1" x14ac:dyDescent="0.25"/>
    <row r="1423" s="18" customFormat="1" x14ac:dyDescent="0.25"/>
    <row r="1424" s="18" customFormat="1" x14ac:dyDescent="0.25"/>
    <row r="1425" s="18" customFormat="1" x14ac:dyDescent="0.25"/>
    <row r="1426" s="18" customFormat="1" x14ac:dyDescent="0.25"/>
    <row r="1427" s="18" customFormat="1" x14ac:dyDescent="0.25"/>
    <row r="1428" s="18" customFormat="1" x14ac:dyDescent="0.25"/>
    <row r="1429" s="18" customFormat="1" x14ac:dyDescent="0.25"/>
    <row r="1430" s="18" customFormat="1" x14ac:dyDescent="0.25"/>
    <row r="1431" s="18" customFormat="1" x14ac:dyDescent="0.25"/>
    <row r="1432" s="18" customFormat="1" x14ac:dyDescent="0.25"/>
    <row r="1433" s="18" customFormat="1" x14ac:dyDescent="0.25"/>
    <row r="1434" s="18" customFormat="1" x14ac:dyDescent="0.25"/>
    <row r="1435" s="18" customFormat="1" x14ac:dyDescent="0.25"/>
    <row r="1436" s="18" customFormat="1" x14ac:dyDescent="0.25"/>
    <row r="1437" s="18" customFormat="1" x14ac:dyDescent="0.25"/>
    <row r="1438" s="18" customFormat="1" x14ac:dyDescent="0.25"/>
    <row r="1439" s="18" customFormat="1" x14ac:dyDescent="0.25"/>
    <row r="1440" s="18" customFormat="1" x14ac:dyDescent="0.25"/>
    <row r="1441" s="18" customFormat="1" x14ac:dyDescent="0.25"/>
    <row r="1442" s="18" customFormat="1" x14ac:dyDescent="0.25"/>
    <row r="1443" s="18" customFormat="1" x14ac:dyDescent="0.25"/>
    <row r="1444" s="18" customFormat="1" x14ac:dyDescent="0.25"/>
    <row r="1445" s="18" customFormat="1" x14ac:dyDescent="0.25"/>
    <row r="1446" s="18" customFormat="1" x14ac:dyDescent="0.25"/>
    <row r="1447" s="18" customFormat="1" x14ac:dyDescent="0.25"/>
    <row r="1448" s="18" customFormat="1" x14ac:dyDescent="0.25"/>
    <row r="1449" s="18" customFormat="1" x14ac:dyDescent="0.25"/>
    <row r="1450" s="18" customFormat="1" x14ac:dyDescent="0.25"/>
    <row r="1451" s="18" customFormat="1" x14ac:dyDescent="0.25"/>
    <row r="1452" s="18" customFormat="1" x14ac:dyDescent="0.25"/>
    <row r="1453" s="18" customFormat="1" x14ac:dyDescent="0.25"/>
    <row r="1454" s="18" customFormat="1" x14ac:dyDescent="0.25"/>
    <row r="1455" s="18" customFormat="1" x14ac:dyDescent="0.25"/>
    <row r="1456" s="18" customFormat="1" x14ac:dyDescent="0.25"/>
    <row r="1457" s="18" customFormat="1" x14ac:dyDescent="0.25"/>
    <row r="1458" s="18" customFormat="1" x14ac:dyDescent="0.25"/>
    <row r="1459" s="18" customFormat="1" x14ac:dyDescent="0.25"/>
    <row r="1460" s="18" customFormat="1" x14ac:dyDescent="0.25"/>
    <row r="1461" s="18" customFormat="1" x14ac:dyDescent="0.25"/>
    <row r="1462" s="18" customFormat="1" x14ac:dyDescent="0.25"/>
    <row r="1463" s="18" customFormat="1" x14ac:dyDescent="0.25"/>
    <row r="1464" s="18" customFormat="1" x14ac:dyDescent="0.25"/>
  </sheetData>
  <sheetProtection formatCells="0" formatColumns="0" formatRows="0" insertColumns="0" insertRows="0" insertHyperlinks="0" deleteColumns="0" deleteRows="0" sort="0" autoFilter="0" pivotTables="0"/>
  <mergeCells count="45">
    <mergeCell ref="B146:L147"/>
    <mergeCell ref="C128:E130"/>
    <mergeCell ref="C135:C138"/>
    <mergeCell ref="C132:C134"/>
    <mergeCell ref="B128:B130"/>
    <mergeCell ref="C139:C140"/>
    <mergeCell ref="C141:C143"/>
    <mergeCell ref="B100:L100"/>
    <mergeCell ref="B101:L101"/>
    <mergeCell ref="B103:L103"/>
    <mergeCell ref="B105:L105"/>
    <mergeCell ref="B58:L58"/>
    <mergeCell ref="B64:L64"/>
    <mergeCell ref="B70:L70"/>
    <mergeCell ref="B84:L84"/>
    <mergeCell ref="B91:L91"/>
    <mergeCell ref="B123:C125"/>
    <mergeCell ref="B36:L36"/>
    <mergeCell ref="B37:B47"/>
    <mergeCell ref="B48:B51"/>
    <mergeCell ref="B54:B56"/>
    <mergeCell ref="C54:C56"/>
    <mergeCell ref="D54:D56"/>
    <mergeCell ref="E54:K54"/>
    <mergeCell ref="L54:L56"/>
    <mergeCell ref="E55:F55"/>
    <mergeCell ref="G55:I55"/>
    <mergeCell ref="B57:L57"/>
    <mergeCell ref="B113:E113"/>
    <mergeCell ref="B114:D114"/>
    <mergeCell ref="B92:L92"/>
    <mergeCell ref="B96:L96"/>
    <mergeCell ref="L2:L4"/>
    <mergeCell ref="B5:L5"/>
    <mergeCell ref="B23:L23"/>
    <mergeCell ref="B24:B31"/>
    <mergeCell ref="B32:B35"/>
    <mergeCell ref="E2:K2"/>
    <mergeCell ref="D2:D4"/>
    <mergeCell ref="C2:C4"/>
    <mergeCell ref="E3:F3"/>
    <mergeCell ref="G3:I3"/>
    <mergeCell ref="B2:B4"/>
    <mergeCell ref="B6:B18"/>
    <mergeCell ref="B19:B22"/>
  </mergeCells>
  <pageMargins left="0.7" right="0.7" top="0.78740157499999996" bottom="0.78740157499999996" header="0.3" footer="0.3"/>
  <pageSetup paperSize="192"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List12">
    <pageSetUpPr fitToPage="1"/>
  </sheetPr>
  <dimension ref="A1:AS44"/>
  <sheetViews>
    <sheetView defaultGridColor="0" topLeftCell="A15" colorId="23" zoomScaleNormal="100" workbookViewId="0">
      <selection activeCell="F36" sqref="F36"/>
    </sheetView>
  </sheetViews>
  <sheetFormatPr defaultColWidth="9.140625" defaultRowHeight="14.25" x14ac:dyDescent="0.3"/>
  <cols>
    <col min="1" max="1" width="2.7109375" style="280" customWidth="1"/>
    <col min="2" max="2" width="6.7109375" style="280" customWidth="1"/>
    <col min="3" max="3" width="53.7109375" style="280" customWidth="1"/>
    <col min="4" max="4" width="12.7109375" style="280" customWidth="1"/>
    <col min="5" max="5" width="7.28515625" style="280" customWidth="1"/>
    <col min="6" max="6" width="15" style="280" customWidth="1"/>
    <col min="7" max="12" width="10.7109375" style="280" customWidth="1"/>
    <col min="13" max="13" width="12.7109375" style="280" customWidth="1"/>
    <col min="14" max="19" width="10.7109375" style="280" customWidth="1"/>
    <col min="20" max="20" width="12.7109375" style="280" customWidth="1"/>
    <col min="21" max="27" width="10.7109375" style="280" customWidth="1"/>
    <col min="28" max="30" width="10.85546875" style="280" customWidth="1"/>
    <col min="31" max="34" width="9.140625" style="280"/>
    <col min="35" max="35" width="11.7109375" style="280" bestFit="1" customWidth="1"/>
    <col min="36" max="16384" width="9.140625" style="280"/>
  </cols>
  <sheetData>
    <row r="1" spans="1:45" ht="15" thickBot="1" x14ac:dyDescent="0.35"/>
    <row r="2" spans="1:45" x14ac:dyDescent="0.3">
      <c r="A2" s="370"/>
      <c r="B2" s="1565" t="s">
        <v>1533</v>
      </c>
      <c r="C2" s="1566" t="str">
        <f>IF('0 Úvod'!$M$10="English",Slovnik!$D$605,Slovnik!$C$605)</f>
        <v>Ekonomická analýza (CZK)</v>
      </c>
      <c r="D2" s="1567"/>
      <c r="E2" s="2239" t="str">
        <f>IF('0 Úvod'!$M$10="English",Slovnik!$D$607,Slovnik!$C$607)</f>
        <v>KF</v>
      </c>
      <c r="F2" s="2129">
        <f>'0 Úvod'!G18</f>
        <v>2026</v>
      </c>
      <c r="G2" s="2127">
        <f t="shared" ref="G2:T2" si="0">F2+1</f>
        <v>2027</v>
      </c>
      <c r="H2" s="2127">
        <f t="shared" si="0"/>
        <v>2028</v>
      </c>
      <c r="I2" s="2127">
        <f t="shared" si="0"/>
        <v>2029</v>
      </c>
      <c r="J2" s="2127">
        <f t="shared" si="0"/>
        <v>2030</v>
      </c>
      <c r="K2" s="2127">
        <f t="shared" si="0"/>
        <v>2031</v>
      </c>
      <c r="L2" s="2127">
        <f t="shared" si="0"/>
        <v>2032</v>
      </c>
      <c r="M2" s="2127">
        <f t="shared" si="0"/>
        <v>2033</v>
      </c>
      <c r="N2" s="2127">
        <f t="shared" si="0"/>
        <v>2034</v>
      </c>
      <c r="O2" s="2127">
        <f t="shared" si="0"/>
        <v>2035</v>
      </c>
      <c r="P2" s="2127">
        <f t="shared" si="0"/>
        <v>2036</v>
      </c>
      <c r="Q2" s="2127">
        <f t="shared" si="0"/>
        <v>2037</v>
      </c>
      <c r="R2" s="2127">
        <f t="shared" si="0"/>
        <v>2038</v>
      </c>
      <c r="S2" s="2127">
        <f t="shared" si="0"/>
        <v>2039</v>
      </c>
      <c r="T2" s="2125">
        <f t="shared" si="0"/>
        <v>2040</v>
      </c>
      <c r="U2" s="247"/>
      <c r="V2" s="247"/>
      <c r="W2" s="247"/>
      <c r="X2" s="247"/>
      <c r="Y2" s="247"/>
      <c r="Z2" s="247"/>
      <c r="AA2" s="247"/>
      <c r="AB2" s="247"/>
      <c r="AC2" s="247"/>
      <c r="AD2" s="247"/>
    </row>
    <row r="3" spans="1:45" ht="15" thickBot="1" x14ac:dyDescent="0.35">
      <c r="A3" s="371"/>
      <c r="B3" s="1568" t="s">
        <v>4</v>
      </c>
      <c r="C3" s="1569"/>
      <c r="D3" s="1570" t="str">
        <f>IF('0 Úvod'!$M$10="English",Slovnik!$D$606,Slovnik!$C$606)</f>
        <v>Celkem</v>
      </c>
      <c r="E3" s="2240"/>
      <c r="F3" s="2134"/>
      <c r="G3" s="2135"/>
      <c r="H3" s="2135"/>
      <c r="I3" s="2135"/>
      <c r="J3" s="2135"/>
      <c r="K3" s="2135"/>
      <c r="L3" s="2135"/>
      <c r="M3" s="2135"/>
      <c r="N3" s="2135"/>
      <c r="O3" s="2135"/>
      <c r="P3" s="2135"/>
      <c r="Q3" s="2135"/>
      <c r="R3" s="2135"/>
      <c r="S3" s="2135"/>
      <c r="T3" s="2136"/>
      <c r="U3" s="247"/>
      <c r="V3" s="247"/>
      <c r="W3" s="247"/>
      <c r="X3" s="247"/>
      <c r="Y3" s="247"/>
      <c r="Z3" s="247"/>
      <c r="AA3" s="247"/>
      <c r="AB3" s="247"/>
      <c r="AC3" s="247"/>
      <c r="AD3" s="247"/>
      <c r="AE3" s="372"/>
      <c r="AF3" s="372"/>
      <c r="AG3" s="372"/>
      <c r="AH3" s="372"/>
      <c r="AI3" s="372"/>
    </row>
    <row r="4" spans="1:45" x14ac:dyDescent="0.3">
      <c r="A4" s="371"/>
      <c r="B4" s="1571"/>
      <c r="C4" s="1572" t="str">
        <f>IF('0 Úvod'!$M$10="English",Slovnik!D735,Slovnik!C735)</f>
        <v>Celkem PN infrastruktura ostatní - úspora</v>
      </c>
      <c r="D4" s="1063">
        <f>SUM(F4:T4,F21:T21)</f>
        <v>0</v>
      </c>
      <c r="E4" s="1573">
        <f>AVERAGE('11 KF'!E135,'11 KF'!E136,'11 KF'!E138,'11 KF'!E139,'11 KF'!E140)</f>
        <v>0.81659999999999999</v>
      </c>
      <c r="F4" s="1065">
        <f>IF(F$2&lt;='0 Úvod'!$G$18+'0 Úvod'!$J$18-1,-'4 PN infrastruktury'!E65*'13 Ekonomická analýza'!$E$4,0)</f>
        <v>0</v>
      </c>
      <c r="G4" s="1065">
        <f>IF(G$2&lt;='0 Úvod'!$G$18+'0 Úvod'!$J$18-1,-'4 PN infrastruktury'!F65*'13 Ekonomická analýza'!$E$4,0)</f>
        <v>0</v>
      </c>
      <c r="H4" s="1065">
        <f>IF(H$2&lt;='0 Úvod'!$G$18+'0 Úvod'!$J$18-1,-'4 PN infrastruktury'!G65*'13 Ekonomická analýza'!$E$4,0)</f>
        <v>0</v>
      </c>
      <c r="I4" s="1065">
        <f>IF(I$2&lt;='0 Úvod'!$G$18+'0 Úvod'!$J$18-1,-'4 PN infrastruktury'!H65*'13 Ekonomická analýza'!$E$4,0)</f>
        <v>0</v>
      </c>
      <c r="J4" s="1065">
        <f>IF(J$2&lt;='0 Úvod'!$G$18+'0 Úvod'!$J$18-1,-'4 PN infrastruktury'!I65*'13 Ekonomická analýza'!$E$4,0)</f>
        <v>0</v>
      </c>
      <c r="K4" s="1065">
        <f>IF(K$2&lt;='0 Úvod'!$G$18+'0 Úvod'!$J$18-1,-'4 PN infrastruktury'!J65*'13 Ekonomická analýza'!$E$4,0)</f>
        <v>0</v>
      </c>
      <c r="L4" s="1065">
        <f>IF(L$2&lt;='0 Úvod'!$G$18+'0 Úvod'!$J$18-1,-'4 PN infrastruktury'!K65*'13 Ekonomická analýza'!$E$4,0)</f>
        <v>0</v>
      </c>
      <c r="M4" s="1065">
        <f>IF(M$2&lt;='0 Úvod'!$G$18+'0 Úvod'!$J$18-1,-'4 PN infrastruktury'!L65*'13 Ekonomická analýza'!$E$4,0)</f>
        <v>0</v>
      </c>
      <c r="N4" s="1065">
        <f>IF(N$2&lt;='0 Úvod'!$G$18+'0 Úvod'!$J$18-1,-'4 PN infrastruktury'!M65*'13 Ekonomická analýza'!$E$4,0)</f>
        <v>0</v>
      </c>
      <c r="O4" s="1065">
        <f>IF(O$2&lt;='0 Úvod'!$G$18+'0 Úvod'!$J$18-1,-'4 PN infrastruktury'!N65*'13 Ekonomická analýza'!$E$4,0)</f>
        <v>0</v>
      </c>
      <c r="P4" s="1065">
        <f>IF(P$2&lt;='0 Úvod'!$G$18+'0 Úvod'!$J$18-1,-'4 PN infrastruktury'!O65*'13 Ekonomická analýza'!$E$4,0)</f>
        <v>0</v>
      </c>
      <c r="Q4" s="1065">
        <f>IF(Q$2&lt;='0 Úvod'!$G$18+'0 Úvod'!$J$18-1,-'4 PN infrastruktury'!P65*'13 Ekonomická analýza'!$E$4,0)</f>
        <v>0</v>
      </c>
      <c r="R4" s="1065">
        <f>IF(R$2&lt;='0 Úvod'!$G$18+'0 Úvod'!$J$18-1,-'4 PN infrastruktury'!Q65*'13 Ekonomická analýza'!$E$4,0)</f>
        <v>0</v>
      </c>
      <c r="S4" s="1065">
        <f>IF(S$2&lt;='0 Úvod'!$G$18+'0 Úvod'!$J$18-1,-'4 PN infrastruktury'!R65*'13 Ekonomická analýza'!$E$4,0)</f>
        <v>0</v>
      </c>
      <c r="T4" s="1066">
        <f>IF(T$2&lt;='0 Úvod'!$G$18+'0 Úvod'!$J$18-1,-'4 PN infrastruktury'!S65*'13 Ekonomická analýza'!$E$4,0)</f>
        <v>0</v>
      </c>
      <c r="U4" s="373"/>
      <c r="V4" s="373"/>
      <c r="W4" s="373"/>
      <c r="X4" s="373"/>
      <c r="Y4" s="373"/>
      <c r="Z4" s="373"/>
      <c r="AA4" s="373"/>
      <c r="AB4" s="373"/>
      <c r="AC4" s="373"/>
      <c r="AD4" s="373"/>
    </row>
    <row r="5" spans="1:45" x14ac:dyDescent="0.3">
      <c r="A5" s="371"/>
      <c r="B5" s="1571"/>
      <c r="C5" s="1572" t="str">
        <f>IF('0 Úvod'!$M$10="English",Slovnik!D736,Slovnik!C736)</f>
        <v>Celkem PN vozidel MHD (vč. městský BUS) - úspora</v>
      </c>
      <c r="D5" s="1063">
        <f t="shared" ref="D5:D11" si="1">SUM(F5:T5,F22:T22)</f>
        <v>0</v>
      </c>
      <c r="E5" s="1573">
        <f>E4</f>
        <v>0.81659999999999999</v>
      </c>
      <c r="F5" s="1065">
        <f>IF(F$2&lt;='0 Úvod'!$G$18+'0 Úvod'!$J$18-1,-'5 PN vozidel MHD'!E78*'13 Ekonomická analýza'!$E$5,0)</f>
        <v>0</v>
      </c>
      <c r="G5" s="1065">
        <f>IF(G$2&lt;='0 Úvod'!$G$18+'0 Úvod'!$J$18-1,-'5 PN vozidel MHD'!F78*'13 Ekonomická analýza'!$E$5,0)</f>
        <v>0</v>
      </c>
      <c r="H5" s="1065">
        <f>IF(H$2&lt;='0 Úvod'!$G$18+'0 Úvod'!$J$18-1,-'5 PN vozidel MHD'!G78*'13 Ekonomická analýza'!$E$5,0)</f>
        <v>0</v>
      </c>
      <c r="I5" s="1065">
        <f>IF(I$2&lt;='0 Úvod'!$G$18+'0 Úvod'!$J$18-1,-'5 PN vozidel MHD'!H78*'13 Ekonomická analýza'!$E$5,0)</f>
        <v>0</v>
      </c>
      <c r="J5" s="1065">
        <f>IF(J$2&lt;='0 Úvod'!$G$18+'0 Úvod'!$J$18-1,-'5 PN vozidel MHD'!I78*'13 Ekonomická analýza'!$E$5,0)</f>
        <v>0</v>
      </c>
      <c r="K5" s="1065">
        <f>IF(K$2&lt;='0 Úvod'!$G$18+'0 Úvod'!$J$18-1,-'5 PN vozidel MHD'!J78*'13 Ekonomická analýza'!$E$5,0)</f>
        <v>0</v>
      </c>
      <c r="L5" s="1065">
        <f>IF(L$2&lt;='0 Úvod'!$G$18+'0 Úvod'!$J$18-1,-'5 PN vozidel MHD'!K78*'13 Ekonomická analýza'!$E$5,0)</f>
        <v>0</v>
      </c>
      <c r="M5" s="1065">
        <f>IF(M$2&lt;='0 Úvod'!$G$18+'0 Úvod'!$J$18-1,-'5 PN vozidel MHD'!L78*'13 Ekonomická analýza'!$E$5,0)</f>
        <v>0</v>
      </c>
      <c r="N5" s="1065">
        <f>IF(N$2&lt;='0 Úvod'!$G$18+'0 Úvod'!$J$18-1,-'5 PN vozidel MHD'!M78*'13 Ekonomická analýza'!$E$5,0)</f>
        <v>0</v>
      </c>
      <c r="O5" s="1065">
        <f>IF(O$2&lt;='0 Úvod'!$G$18+'0 Úvod'!$J$18-1,-'5 PN vozidel MHD'!N78*'13 Ekonomická analýza'!$E$5,0)</f>
        <v>0</v>
      </c>
      <c r="P5" s="1065">
        <f>IF(P$2&lt;='0 Úvod'!$G$18+'0 Úvod'!$J$18-1,-'5 PN vozidel MHD'!O78*'13 Ekonomická analýza'!$E$5,0)</f>
        <v>0</v>
      </c>
      <c r="Q5" s="1065">
        <f>IF(Q$2&lt;='0 Úvod'!$G$18+'0 Úvod'!$J$18-1,-'5 PN vozidel MHD'!P78*'13 Ekonomická analýza'!$E$5,0)</f>
        <v>0</v>
      </c>
      <c r="R5" s="1065">
        <f>IF(R$2&lt;='0 Úvod'!$G$18+'0 Úvod'!$J$18-1,-'5 PN vozidel MHD'!Q78*'13 Ekonomická analýza'!$E$5,0)</f>
        <v>0</v>
      </c>
      <c r="S5" s="1065">
        <f>IF(S$2&lt;='0 Úvod'!$G$18+'0 Úvod'!$J$18-1,-'5 PN vozidel MHD'!R78*'13 Ekonomická analýza'!$E$5,0)</f>
        <v>0</v>
      </c>
      <c r="T5" s="1066">
        <f>IF(T$2&lt;='0 Úvod'!$G$18+'0 Úvod'!$J$18-1,-'5 PN vozidel MHD'!S78*'13 Ekonomická analýza'!$E$5,0)</f>
        <v>0</v>
      </c>
      <c r="U5" s="373"/>
      <c r="V5" s="373"/>
      <c r="W5" s="373"/>
      <c r="X5" s="373"/>
      <c r="Y5" s="373"/>
      <c r="Z5" s="373"/>
      <c r="AA5" s="373"/>
      <c r="AB5" s="373"/>
      <c r="AC5" s="373"/>
      <c r="AD5" s="373"/>
    </row>
    <row r="6" spans="1:45" x14ac:dyDescent="0.3">
      <c r="A6" s="371"/>
      <c r="B6" s="1571"/>
      <c r="C6" s="1572" t="str">
        <f>IF('0 Úvod'!$M$10="English",Slovnik!D594,Slovnik!C594)</f>
        <v>Celkem úspory z cestovních dob</v>
      </c>
      <c r="D6" s="1063">
        <f t="shared" si="1"/>
        <v>0</v>
      </c>
      <c r="E6" s="1574"/>
      <c r="F6" s="1065">
        <f>IF(F$2&lt;='0 Úvod'!$G$18+'0 Úvod'!$J$18-1,'8 Úspory času'!F45,0)</f>
        <v>0</v>
      </c>
      <c r="G6" s="1065">
        <f>IF(G$2&lt;='0 Úvod'!$G$18+'0 Úvod'!$J$18-1,'8 Úspory času'!G45,0)</f>
        <v>0</v>
      </c>
      <c r="H6" s="1065">
        <f>IF(H$2&lt;='0 Úvod'!$G$18+'0 Úvod'!$J$18-1,'8 Úspory času'!H45,0)</f>
        <v>0</v>
      </c>
      <c r="I6" s="1065">
        <f>IF(I$2&lt;='0 Úvod'!$G$18+'0 Úvod'!$J$18-1,'8 Úspory času'!I45,0)</f>
        <v>0</v>
      </c>
      <c r="J6" s="1065">
        <f>IF(J$2&lt;='0 Úvod'!$G$18+'0 Úvod'!$J$18-1,'8 Úspory času'!J45,0)</f>
        <v>0</v>
      </c>
      <c r="K6" s="1065">
        <f>IF(K$2&lt;='0 Úvod'!$G$18+'0 Úvod'!$J$18-1,'8 Úspory času'!K45,0)</f>
        <v>0</v>
      </c>
      <c r="L6" s="1065">
        <f>IF(L$2&lt;='0 Úvod'!$G$18+'0 Úvod'!$J$18-1,'8 Úspory času'!L45,0)</f>
        <v>0</v>
      </c>
      <c r="M6" s="1065">
        <f>IF(M$2&lt;='0 Úvod'!$G$18+'0 Úvod'!$J$18-1,'8 Úspory času'!M45,0)</f>
        <v>0</v>
      </c>
      <c r="N6" s="1065">
        <f>IF(N$2&lt;='0 Úvod'!$G$18+'0 Úvod'!$J$18-1,'8 Úspory času'!N45,0)</f>
        <v>0</v>
      </c>
      <c r="O6" s="1065">
        <f>IF(O$2&lt;='0 Úvod'!$G$18+'0 Úvod'!$J$18-1,'8 Úspory času'!O45,0)</f>
        <v>0</v>
      </c>
      <c r="P6" s="1065">
        <f>IF(P$2&lt;='0 Úvod'!$G$18+'0 Úvod'!$J$18-1,'8 Úspory času'!P45,0)</f>
        <v>0</v>
      </c>
      <c r="Q6" s="1065">
        <f>IF(Q$2&lt;='0 Úvod'!$G$18+'0 Úvod'!$J$18-1,'8 Úspory času'!Q45,0)</f>
        <v>0</v>
      </c>
      <c r="R6" s="1065">
        <f>IF(R$2&lt;='0 Úvod'!$G$18+'0 Úvod'!$J$18-1,'8 Úspory času'!R45,0)</f>
        <v>0</v>
      </c>
      <c r="S6" s="1065">
        <f>IF(S$2&lt;='0 Úvod'!$G$18+'0 Úvod'!$J$18-1,'8 Úspory času'!S45,0)</f>
        <v>0</v>
      </c>
      <c r="T6" s="1066">
        <f>IF(T$2&lt;='0 Úvod'!$G$18+'0 Úvod'!$J$18-1,'8 Úspory času'!T45,0)</f>
        <v>0</v>
      </c>
      <c r="U6" s="373"/>
      <c r="V6" s="373"/>
      <c r="W6" s="373"/>
      <c r="X6" s="373"/>
      <c r="Y6" s="373"/>
      <c r="Z6" s="373"/>
      <c r="AA6" s="373"/>
      <c r="AB6" s="373"/>
      <c r="AC6" s="373"/>
      <c r="AD6" s="373"/>
    </row>
    <row r="7" spans="1:45" x14ac:dyDescent="0.3">
      <c r="A7" s="371"/>
      <c r="B7" s="1571"/>
      <c r="C7" s="1572" t="s">
        <v>1540</v>
      </c>
      <c r="D7" s="1063">
        <f t="shared" si="1"/>
        <v>0</v>
      </c>
      <c r="E7" s="1574"/>
      <c r="F7" s="1065">
        <f>IF(F$2&lt;='0 Úvod'!$G$18+'0 Úvod'!$J$18-1,'9 Hluk a nehodovost'!E62,0)</f>
        <v>0</v>
      </c>
      <c r="G7" s="1065">
        <f>IF(G$2&lt;='0 Úvod'!$G$18+'0 Úvod'!$J$18-1,'9 Hluk a nehodovost'!F62,0)</f>
        <v>0</v>
      </c>
      <c r="H7" s="1065">
        <f>IF(H$2&lt;='0 Úvod'!$G$18+'0 Úvod'!$J$18-1,'9 Hluk a nehodovost'!G62,0)</f>
        <v>0</v>
      </c>
      <c r="I7" s="1065">
        <f>IF(I$2&lt;='0 Úvod'!$G$18+'0 Úvod'!$J$18-1,'9 Hluk a nehodovost'!H62,0)</f>
        <v>0</v>
      </c>
      <c r="J7" s="1065">
        <f>IF(J$2&lt;='0 Úvod'!$G$18+'0 Úvod'!$J$18-1,'9 Hluk a nehodovost'!I62,0)</f>
        <v>0</v>
      </c>
      <c r="K7" s="1065">
        <f>IF(K$2&lt;='0 Úvod'!$G$18+'0 Úvod'!$J$18-1,'9 Hluk a nehodovost'!J62,0)</f>
        <v>0</v>
      </c>
      <c r="L7" s="1065">
        <f>IF(L$2&lt;='0 Úvod'!$G$18+'0 Úvod'!$J$18-1,'9 Hluk a nehodovost'!K62,0)</f>
        <v>0</v>
      </c>
      <c r="M7" s="1065">
        <f>IF(M$2&lt;='0 Úvod'!$G$18+'0 Úvod'!$J$18-1,'9 Hluk a nehodovost'!L62,0)</f>
        <v>0</v>
      </c>
      <c r="N7" s="1065">
        <f>IF(N$2&lt;='0 Úvod'!$G$18+'0 Úvod'!$J$18-1,'9 Hluk a nehodovost'!M62,0)</f>
        <v>0</v>
      </c>
      <c r="O7" s="1065">
        <f>IF(O$2&lt;='0 Úvod'!$G$18+'0 Úvod'!$J$18-1,'9 Hluk a nehodovost'!N62,0)</f>
        <v>0</v>
      </c>
      <c r="P7" s="1065">
        <f>IF(P$2&lt;='0 Úvod'!$G$18+'0 Úvod'!$J$18-1,'9 Hluk a nehodovost'!O62,0)</f>
        <v>0</v>
      </c>
      <c r="Q7" s="1065">
        <f>IF(Q$2&lt;='0 Úvod'!$G$18+'0 Úvod'!$J$18-1,'9 Hluk a nehodovost'!P62,0)</f>
        <v>0</v>
      </c>
      <c r="R7" s="1065">
        <f>IF(R$2&lt;='0 Úvod'!$G$18+'0 Úvod'!$J$18-1,'9 Hluk a nehodovost'!Q62,0)</f>
        <v>0</v>
      </c>
      <c r="S7" s="1065">
        <f>IF(S$2&lt;='0 Úvod'!$G$18+'0 Úvod'!$J$18-1,'9 Hluk a nehodovost'!R62,0)</f>
        <v>0</v>
      </c>
      <c r="T7" s="1066">
        <f>IF(T$2&lt;='0 Úvod'!$G$18+'0 Úvod'!$J$18-1,'9 Hluk a nehodovost'!S62,0)</f>
        <v>0</v>
      </c>
      <c r="U7" s="373"/>
      <c r="V7" s="373"/>
      <c r="W7" s="373"/>
      <c r="X7" s="373"/>
      <c r="Y7" s="373"/>
      <c r="Z7" s="373"/>
      <c r="AA7" s="373"/>
      <c r="AB7" s="373"/>
      <c r="AC7" s="373"/>
      <c r="AD7" s="373"/>
    </row>
    <row r="8" spans="1:45" x14ac:dyDescent="0.3">
      <c r="A8" s="371"/>
      <c r="B8" s="1571"/>
      <c r="C8" s="1572" t="s">
        <v>1539</v>
      </c>
      <c r="D8" s="1063">
        <f t="shared" si="1"/>
        <v>0</v>
      </c>
      <c r="E8" s="1574"/>
      <c r="F8" s="1065">
        <f>IF(F$2&lt;='0 Úvod'!$G$18+'0 Úvod'!$J$18-1,'10 Emise a ŽP'!E85,0)</f>
        <v>0</v>
      </c>
      <c r="G8" s="1065">
        <f>IF(G$2&lt;='0 Úvod'!$G$18+'0 Úvod'!$J$18-1,'10 Emise a ŽP'!F85,0)</f>
        <v>0</v>
      </c>
      <c r="H8" s="1065">
        <f>IF(H$2&lt;='0 Úvod'!$G$18+'0 Úvod'!$J$18-1,'10 Emise a ŽP'!G85,0)</f>
        <v>0</v>
      </c>
      <c r="I8" s="1065">
        <f>IF(I$2&lt;='0 Úvod'!$G$18+'0 Úvod'!$J$18-1,'10 Emise a ŽP'!H85,0)</f>
        <v>0</v>
      </c>
      <c r="J8" s="1065">
        <f>IF(J$2&lt;='0 Úvod'!$G$18+'0 Úvod'!$J$18-1,'10 Emise a ŽP'!I85,0)</f>
        <v>0</v>
      </c>
      <c r="K8" s="1065">
        <f>IF(K$2&lt;='0 Úvod'!$G$18+'0 Úvod'!$J$18-1,'10 Emise a ŽP'!J85,0)</f>
        <v>0</v>
      </c>
      <c r="L8" s="1065">
        <f>IF(L$2&lt;='0 Úvod'!$G$18+'0 Úvod'!$J$18-1,'10 Emise a ŽP'!K85,0)</f>
        <v>0</v>
      </c>
      <c r="M8" s="1065">
        <f>IF(M$2&lt;='0 Úvod'!$G$18+'0 Úvod'!$J$18-1,'10 Emise a ŽP'!L85,0)</f>
        <v>0</v>
      </c>
      <c r="N8" s="1065">
        <f>IF(N$2&lt;='0 Úvod'!$G$18+'0 Úvod'!$J$18-1,'10 Emise a ŽP'!M85,0)</f>
        <v>0</v>
      </c>
      <c r="O8" s="1065">
        <f>IF(O$2&lt;='0 Úvod'!$G$18+'0 Úvod'!$J$18-1,'10 Emise a ŽP'!N85,0)</f>
        <v>0</v>
      </c>
      <c r="P8" s="1065">
        <f>IF(P$2&lt;='0 Úvod'!$G$18+'0 Úvod'!$J$18-1,'10 Emise a ŽP'!O85,0)</f>
        <v>0</v>
      </c>
      <c r="Q8" s="1065">
        <f>IF(Q$2&lt;='0 Úvod'!$G$18+'0 Úvod'!$J$18-1,'10 Emise a ŽP'!P85,0)</f>
        <v>0</v>
      </c>
      <c r="R8" s="1065">
        <f>IF(R$2&lt;='0 Úvod'!$G$18+'0 Úvod'!$J$18-1,'10 Emise a ŽP'!Q85,0)</f>
        <v>0</v>
      </c>
      <c r="S8" s="1065">
        <f>IF(S$2&lt;='0 Úvod'!$G$18+'0 Úvod'!$J$18-1,'10 Emise a ŽP'!R85,0)</f>
        <v>0</v>
      </c>
      <c r="T8" s="1066">
        <f>IF(T$2&lt;='0 Úvod'!$G$18+'0 Úvod'!$J$18-1,'10 Emise a ŽP'!S85,0)</f>
        <v>0</v>
      </c>
      <c r="U8" s="373"/>
      <c r="V8" s="373"/>
      <c r="W8" s="373"/>
      <c r="X8" s="373"/>
      <c r="Y8" s="373"/>
      <c r="Z8" s="373"/>
      <c r="AA8" s="373"/>
      <c r="AB8" s="373"/>
      <c r="AC8" s="373"/>
      <c r="AD8" s="373"/>
    </row>
    <row r="9" spans="1:45" x14ac:dyDescent="0.3">
      <c r="A9" s="371"/>
      <c r="B9" s="1571"/>
      <c r="C9" s="1572" t="s">
        <v>1538</v>
      </c>
      <c r="D9" s="1063">
        <f t="shared" si="1"/>
        <v>0</v>
      </c>
      <c r="E9" s="1574"/>
      <c r="F9" s="1065">
        <f>IF(F$2&lt;='0 Úvod'!$G$18+'0 Úvod'!$J$18-1,'11 Klima'!E45,0)</f>
        <v>0</v>
      </c>
      <c r="G9" s="1065">
        <f>IF(G$2&lt;='0 Úvod'!$G$18+'0 Úvod'!$J$18-1,'11 Klima'!F45,0)</f>
        <v>0</v>
      </c>
      <c r="H9" s="1065">
        <f>IF(H$2&lt;='0 Úvod'!$G$18+'0 Úvod'!$J$18-1,'11 Klima'!G45,0)</f>
        <v>0</v>
      </c>
      <c r="I9" s="1065">
        <f>IF(I$2&lt;='0 Úvod'!$G$18+'0 Úvod'!$J$18-1,'11 Klima'!H45,0)</f>
        <v>0</v>
      </c>
      <c r="J9" s="1065">
        <f>IF(J$2&lt;='0 Úvod'!$G$18+'0 Úvod'!$J$18-1,'11 Klima'!I45,0)</f>
        <v>0</v>
      </c>
      <c r="K9" s="1065">
        <f>IF(K$2&lt;='0 Úvod'!$G$18+'0 Úvod'!$J$18-1,'11 Klima'!J45,0)</f>
        <v>0</v>
      </c>
      <c r="L9" s="1065">
        <f>IF(L$2&lt;='0 Úvod'!$G$18+'0 Úvod'!$J$18-1,'11 Klima'!K45,0)</f>
        <v>0</v>
      </c>
      <c r="M9" s="1065">
        <f>IF(M$2&lt;='0 Úvod'!$G$18+'0 Úvod'!$J$18-1,'11 Klima'!L45,0)</f>
        <v>0</v>
      </c>
      <c r="N9" s="1065">
        <f>IF(N$2&lt;='0 Úvod'!$G$18+'0 Úvod'!$J$18-1,'11 Klima'!M45,0)</f>
        <v>0</v>
      </c>
      <c r="O9" s="1065">
        <f>IF(O$2&lt;='0 Úvod'!$G$18+'0 Úvod'!$J$18-1,'11 Klima'!N45,0)</f>
        <v>0</v>
      </c>
      <c r="P9" s="1065">
        <f>IF(P$2&lt;='0 Úvod'!$G$18+'0 Úvod'!$J$18-1,'11 Klima'!O45,0)</f>
        <v>0</v>
      </c>
      <c r="Q9" s="1065">
        <f>IF(Q$2&lt;='0 Úvod'!$G$18+'0 Úvod'!$J$18-1,'11 Klima'!P45,0)</f>
        <v>0</v>
      </c>
      <c r="R9" s="1065">
        <f>IF(R$2&lt;='0 Úvod'!$G$18+'0 Úvod'!$J$18-1,'11 Klima'!Q45,0)</f>
        <v>0</v>
      </c>
      <c r="S9" s="1065">
        <f>IF(S$2&lt;='0 Úvod'!$G$18+'0 Úvod'!$J$18-1,'11 Klima'!R45,0)</f>
        <v>0</v>
      </c>
      <c r="T9" s="1066">
        <f>IF(T$2&lt;='0 Úvod'!$G$18+'0 Úvod'!$J$18-1,'11 Klima'!S45,0)</f>
        <v>0</v>
      </c>
      <c r="U9" s="373"/>
      <c r="V9" s="373"/>
      <c r="W9" s="373"/>
      <c r="X9" s="373"/>
      <c r="Y9" s="373"/>
      <c r="Z9" s="373"/>
      <c r="AA9" s="373"/>
      <c r="AB9" s="373"/>
      <c r="AC9" s="373"/>
      <c r="AD9" s="373"/>
    </row>
    <row r="10" spans="1:45" x14ac:dyDescent="0.3">
      <c r="A10" s="371"/>
      <c r="B10" s="1571"/>
      <c r="C10" s="1572" t="s">
        <v>1541</v>
      </c>
      <c r="D10" s="1063">
        <f t="shared" si="1"/>
        <v>0</v>
      </c>
      <c r="E10" s="1575"/>
      <c r="F10" s="1065">
        <f>IF(F$2&lt;='0 Úvod'!$G$18+'0 Úvod'!$J$18-1,'12 Ostatní přínosy'!E25,0)</f>
        <v>0</v>
      </c>
      <c r="G10" s="1065">
        <f>IF(G$2&lt;='0 Úvod'!$G$18+'0 Úvod'!$J$18-1,'12 Ostatní přínosy'!F25,0)</f>
        <v>0</v>
      </c>
      <c r="H10" s="1065">
        <f>IF(H$2&lt;='0 Úvod'!$G$18+'0 Úvod'!$J$18-1,'12 Ostatní přínosy'!G25,0)</f>
        <v>0</v>
      </c>
      <c r="I10" s="1065">
        <f>IF(I$2&lt;='0 Úvod'!$G$18+'0 Úvod'!$J$18-1,'12 Ostatní přínosy'!H25,0)</f>
        <v>0</v>
      </c>
      <c r="J10" s="1065">
        <f>IF(J$2&lt;='0 Úvod'!$G$18+'0 Úvod'!$J$18-1,'12 Ostatní přínosy'!I25,0)</f>
        <v>0</v>
      </c>
      <c r="K10" s="1065">
        <f>IF(K$2&lt;='0 Úvod'!$G$18+'0 Úvod'!$J$18-1,'12 Ostatní přínosy'!J25,0)</f>
        <v>0</v>
      </c>
      <c r="L10" s="1065">
        <f>IF(L$2&lt;='0 Úvod'!$G$18+'0 Úvod'!$J$18-1,'12 Ostatní přínosy'!K25,0)</f>
        <v>0</v>
      </c>
      <c r="M10" s="1065">
        <f>IF(M$2&lt;='0 Úvod'!$G$18+'0 Úvod'!$J$18-1,'12 Ostatní přínosy'!L25,0)</f>
        <v>0</v>
      </c>
      <c r="N10" s="1065">
        <f>IF(N$2&lt;='0 Úvod'!$G$18+'0 Úvod'!$J$18-1,'12 Ostatní přínosy'!M25,0)</f>
        <v>0</v>
      </c>
      <c r="O10" s="1065">
        <f>IF(O$2&lt;='0 Úvod'!$G$18+'0 Úvod'!$J$18-1,'12 Ostatní přínosy'!N25,0)</f>
        <v>0</v>
      </c>
      <c r="P10" s="1065">
        <f>IF(P$2&lt;='0 Úvod'!$G$18+'0 Úvod'!$J$18-1,'12 Ostatní přínosy'!O25,0)</f>
        <v>0</v>
      </c>
      <c r="Q10" s="1065">
        <f>IF(Q$2&lt;='0 Úvod'!$G$18+'0 Úvod'!$J$18-1,'12 Ostatní přínosy'!P25,0)</f>
        <v>0</v>
      </c>
      <c r="R10" s="1065">
        <f>IF(R$2&lt;='0 Úvod'!$G$18+'0 Úvod'!$J$18-1,'12 Ostatní přínosy'!Q25,0)</f>
        <v>0</v>
      </c>
      <c r="S10" s="1065">
        <f>IF(S$2&lt;='0 Úvod'!$G$18+'0 Úvod'!$J$18-1,'12 Ostatní přínosy'!R25,0)</f>
        <v>0</v>
      </c>
      <c r="T10" s="1066">
        <f>IF(T$2&lt;='0 Úvod'!$G$18+'0 Úvod'!$J$18-1,'12 Ostatní přínosy'!S25,0)</f>
        <v>0</v>
      </c>
      <c r="U10" s="373"/>
      <c r="V10" s="373"/>
      <c r="W10" s="373"/>
      <c r="X10" s="373"/>
      <c r="Y10" s="373"/>
      <c r="Z10" s="373"/>
      <c r="AA10" s="373"/>
      <c r="AB10" s="373"/>
      <c r="AC10" s="373"/>
      <c r="AD10" s="373"/>
    </row>
    <row r="11" spans="1:45" x14ac:dyDescent="0.3">
      <c r="B11" s="1576"/>
      <c r="C11" s="1577" t="s">
        <v>1516</v>
      </c>
      <c r="D11" s="1578">
        <f t="shared" si="1"/>
        <v>0</v>
      </c>
      <c r="E11" s="1579"/>
      <c r="F11" s="1580">
        <f t="shared" ref="F11:T11" si="2">SUM(F4:F10)</f>
        <v>0</v>
      </c>
      <c r="G11" s="1581">
        <f t="shared" si="2"/>
        <v>0</v>
      </c>
      <c r="H11" s="1581">
        <f t="shared" si="2"/>
        <v>0</v>
      </c>
      <c r="I11" s="1581">
        <f t="shared" si="2"/>
        <v>0</v>
      </c>
      <c r="J11" s="1581">
        <f t="shared" si="2"/>
        <v>0</v>
      </c>
      <c r="K11" s="1581">
        <f t="shared" si="2"/>
        <v>0</v>
      </c>
      <c r="L11" s="1581">
        <f t="shared" si="2"/>
        <v>0</v>
      </c>
      <c r="M11" s="1581">
        <f t="shared" si="2"/>
        <v>0</v>
      </c>
      <c r="N11" s="1581">
        <f t="shared" si="2"/>
        <v>0</v>
      </c>
      <c r="O11" s="1581">
        <f t="shared" si="2"/>
        <v>0</v>
      </c>
      <c r="P11" s="1581">
        <f t="shared" si="2"/>
        <v>0</v>
      </c>
      <c r="Q11" s="1581">
        <f t="shared" si="2"/>
        <v>0</v>
      </c>
      <c r="R11" s="1581">
        <f t="shared" si="2"/>
        <v>0</v>
      </c>
      <c r="S11" s="1581">
        <f t="shared" si="2"/>
        <v>0</v>
      </c>
      <c r="T11" s="1582">
        <f t="shared" si="2"/>
        <v>0</v>
      </c>
      <c r="U11" s="278"/>
      <c r="V11" s="278"/>
      <c r="W11" s="278"/>
      <c r="X11" s="278"/>
      <c r="Y11" s="278"/>
      <c r="Z11" s="278"/>
      <c r="AA11" s="278"/>
      <c r="AB11" s="278"/>
      <c r="AC11" s="278"/>
      <c r="AD11" s="278"/>
    </row>
    <row r="12" spans="1:45" x14ac:dyDescent="0.3">
      <c r="A12" s="371"/>
      <c r="B12" s="1571"/>
      <c r="C12" s="1572" t="str">
        <f>IF('0 Úvod'!$M$10="English",Slovnik!D599,Slovnik!C599)</f>
        <v>Celkem investiční náklady bez rezervy</v>
      </c>
      <c r="D12" s="1063">
        <f>SUM(F12:T12,F29:T29)</f>
        <v>0</v>
      </c>
      <c r="E12" s="1583">
        <f>AVERAGE('11 KF'!E132:E133)</f>
        <v>0.80400000000000005</v>
      </c>
      <c r="F12" s="1065">
        <f>IF(F$2&lt;='0 Úvod'!$G$18+'0 Úvod'!$J$18-1,'1 CIN'!E10*'13 Ekonomická analýza'!$E$12,0)</f>
        <v>0</v>
      </c>
      <c r="G12" s="1065">
        <f>IF(G$2&lt;='0 Úvod'!$G$18+'0 Úvod'!$J$18-1,'1 CIN'!F10*'13 Ekonomická analýza'!$E$12,0)</f>
        <v>0</v>
      </c>
      <c r="H12" s="1065">
        <f>IF(H$2&lt;='0 Úvod'!$G$18+'0 Úvod'!$J$18-1,'1 CIN'!G10*'13 Ekonomická analýza'!$E$12,0)</f>
        <v>0</v>
      </c>
      <c r="I12" s="1065">
        <f>IF(I$2&lt;='0 Úvod'!$G$18+'0 Úvod'!$J$18-1,'1 CIN'!H10*'13 Ekonomická analýza'!$E$12,0)</f>
        <v>0</v>
      </c>
      <c r="J12" s="1065">
        <f>IF(J$2&lt;='0 Úvod'!$G$18+'0 Úvod'!$J$18-1,'1 CIN'!I10*'13 Ekonomická analýza'!$E$12,0)</f>
        <v>0</v>
      </c>
      <c r="K12" s="1065">
        <f>IF(K$2&lt;='0 Úvod'!$G$18+'0 Úvod'!$J$18-1,'1 CIN'!J10*'13 Ekonomická analýza'!$E$12,0)</f>
        <v>0</v>
      </c>
      <c r="L12" s="1065">
        <f>IF(L$2&lt;='0 Úvod'!$G$18+'0 Úvod'!$J$18-1,-'1 CIN'!K10*'13 Ekonomická analýza'!$E$12,0)</f>
        <v>0</v>
      </c>
      <c r="M12" s="1065">
        <f>IF(M$2&lt;='0 Úvod'!$G$18+'0 Úvod'!$J$18-1,-'1 CIN'!L10*'13 Ekonomická analýza'!$E$12,0)</f>
        <v>0</v>
      </c>
      <c r="N12" s="1065">
        <f>IF(N$2&lt;='0 Úvod'!$G$18+'0 Úvod'!$J$18-1,-'1 CIN'!M10*'13 Ekonomická analýza'!$E$12,0)</f>
        <v>0</v>
      </c>
      <c r="O12" s="1065">
        <f>IF(O$2&lt;='0 Úvod'!$G$18+'0 Úvod'!$J$18-1,-'1 CIN'!N10*'13 Ekonomická analýza'!$E$12,0)</f>
        <v>0</v>
      </c>
      <c r="P12" s="1065">
        <f>IF(P$2&lt;='0 Úvod'!$G$18+'0 Úvod'!$J$18-1,-'1 CIN'!O10*'13 Ekonomická analýza'!$E$12,0)</f>
        <v>0</v>
      </c>
      <c r="Q12" s="1065">
        <f>IF(Q$2&lt;='0 Úvod'!$G$18+'0 Úvod'!$J$18-1,-'1 CIN'!P10*'13 Ekonomická analýza'!$E$12,0)</f>
        <v>0</v>
      </c>
      <c r="R12" s="1065">
        <f>IF(R$2&lt;='0 Úvod'!$G$18+'0 Úvod'!$J$18-1,-'1 CIN'!Q10*'13 Ekonomická analýza'!$E$12,0)</f>
        <v>0</v>
      </c>
      <c r="S12" s="1065">
        <f>IF(S$2&lt;='0 Úvod'!$G$18+'0 Úvod'!$J$18-1,-'1 CIN'!R10*'13 Ekonomická analýza'!$E$12,0)</f>
        <v>0</v>
      </c>
      <c r="T12" s="1066">
        <f>IF(T$2&lt;='0 Úvod'!$G$18+'0 Úvod'!$J$18-1,-'1 CIN'!S10*'13 Ekonomická analýza'!$E$12,0)</f>
        <v>0</v>
      </c>
      <c r="U12" s="373"/>
      <c r="V12" s="373"/>
      <c r="W12" s="373"/>
      <c r="X12" s="373"/>
      <c r="Y12" s="373"/>
      <c r="Z12" s="373"/>
      <c r="AA12" s="373"/>
      <c r="AB12" s="373"/>
      <c r="AC12" s="373"/>
      <c r="AD12" s="373"/>
    </row>
    <row r="13" spans="1:45" x14ac:dyDescent="0.3">
      <c r="A13" s="371"/>
      <c r="B13" s="1571"/>
      <c r="C13" s="1572" t="str">
        <f>IF('0 Úvod'!$M$10="English",Slovnik!D600,Slovnik!C600)</f>
        <v>Zůstatková hodnota (záporná)</v>
      </c>
      <c r="D13" s="1063">
        <f>SUM(F13:T13,F30:T30)</f>
        <v>0</v>
      </c>
      <c r="E13" s="1584"/>
      <c r="F13" s="1064">
        <f>IF(F2='0 Úvod'!$G$18+'0 Úvod'!$J$18-1,-1*'2 ZH'!$I$48,0)</f>
        <v>0</v>
      </c>
      <c r="G13" s="1065">
        <f>IF(G2='0 Úvod'!$G$18+'0 Úvod'!$J$18-1,-1*'2 ZH'!$I$48,0)</f>
        <v>0</v>
      </c>
      <c r="H13" s="1065">
        <f>IF(H2='0 Úvod'!$G$18+'0 Úvod'!$J$18-1,-1*'2 ZH'!$I$48,0)</f>
        <v>0</v>
      </c>
      <c r="I13" s="1065">
        <f>IF(I2='0 Úvod'!$G$18+'0 Úvod'!$J$18-1,-1*'2 ZH'!$I$48,0)</f>
        <v>0</v>
      </c>
      <c r="J13" s="1065">
        <f>IF(J2='0 Úvod'!$G$18+'0 Úvod'!$J$18-1,-1*'2 ZH'!$I$48,0)</f>
        <v>0</v>
      </c>
      <c r="K13" s="1065">
        <f>IF(K2='0 Úvod'!$G$18+'0 Úvod'!$J$18-1,-1*'2 ZH'!$I$48,0)</f>
        <v>0</v>
      </c>
      <c r="L13" s="1065">
        <f>IF(L2='0 Úvod'!$G$18+'0 Úvod'!$J$18-1,-1*'2 ZH'!$I$48,0)</f>
        <v>0</v>
      </c>
      <c r="M13" s="1065">
        <f>IF(M2='0 Úvod'!$G$18+'0 Úvod'!$J$18-1,-1*'2 ZH'!$I$48,0)</f>
        <v>0</v>
      </c>
      <c r="N13" s="1065">
        <f>IF(N2='0 Úvod'!$G$18+'0 Úvod'!$J$18-1,-1*'2 ZH'!$I$48,0)</f>
        <v>0</v>
      </c>
      <c r="O13" s="1065">
        <f>IF(O2='0 Úvod'!$G$18+'0 Úvod'!$J$18-1,-1*'2 ZH'!$I$48,0)</f>
        <v>0</v>
      </c>
      <c r="P13" s="1065">
        <f>IF(P2='0 Úvod'!$G$18+'0 Úvod'!$J$18-1,-1*'2 ZH'!$I$48,0)</f>
        <v>0</v>
      </c>
      <c r="Q13" s="1065">
        <f>IF(Q2='0 Úvod'!$G$18+'0 Úvod'!$J$18-1,-1*'2 ZH'!$I$48,0)</f>
        <v>0</v>
      </c>
      <c r="R13" s="1065">
        <f>IF(R2='0 Úvod'!$G$18+'0 Úvod'!$J$18-1,-1*'2 ZH'!$I$48,0)</f>
        <v>0</v>
      </c>
      <c r="S13" s="1065">
        <f>IF(S2='0 Úvod'!$G$18+'0 Úvod'!$J$18-1,-1*'2 ZH'!$I$48,0)</f>
        <v>0</v>
      </c>
      <c r="T13" s="1066">
        <f>IF(T2='0 Úvod'!$G$18+'0 Úvod'!$J$18-1,-1*'2 ZH'!$I$48,0)</f>
        <v>0</v>
      </c>
      <c r="U13" s="373"/>
      <c r="V13" s="373"/>
      <c r="W13" s="373"/>
      <c r="X13" s="373"/>
      <c r="Y13" s="373"/>
      <c r="Z13" s="373"/>
      <c r="AA13" s="373"/>
      <c r="AB13" s="373"/>
      <c r="AC13" s="373"/>
      <c r="AD13" s="373"/>
    </row>
    <row r="14" spans="1:45" x14ac:dyDescent="0.3">
      <c r="B14" s="1576"/>
      <c r="C14" s="1577" t="str">
        <f>IF('0 Úvod'!$M$10="English",Slovnik!D601,Slovnik!C601)</f>
        <v>Celkové náklady</v>
      </c>
      <c r="D14" s="1585">
        <f t="shared" ref="D14:D15" si="3">SUM(F14:T14,F31:T31)</f>
        <v>0</v>
      </c>
      <c r="E14" s="1586"/>
      <c r="F14" s="1587">
        <f t="shared" ref="F14:T14" si="4">SUM(F12:F13)</f>
        <v>0</v>
      </c>
      <c r="G14" s="1585">
        <f t="shared" si="4"/>
        <v>0</v>
      </c>
      <c r="H14" s="1585">
        <f t="shared" si="4"/>
        <v>0</v>
      </c>
      <c r="I14" s="1585">
        <f t="shared" si="4"/>
        <v>0</v>
      </c>
      <c r="J14" s="1585">
        <f t="shared" si="4"/>
        <v>0</v>
      </c>
      <c r="K14" s="1585">
        <f t="shared" si="4"/>
        <v>0</v>
      </c>
      <c r="L14" s="1585">
        <f t="shared" si="4"/>
        <v>0</v>
      </c>
      <c r="M14" s="1585">
        <f t="shared" si="4"/>
        <v>0</v>
      </c>
      <c r="N14" s="1585">
        <f t="shared" si="4"/>
        <v>0</v>
      </c>
      <c r="O14" s="1585">
        <f t="shared" si="4"/>
        <v>0</v>
      </c>
      <c r="P14" s="1585">
        <f t="shared" si="4"/>
        <v>0</v>
      </c>
      <c r="Q14" s="1585">
        <f t="shared" si="4"/>
        <v>0</v>
      </c>
      <c r="R14" s="1585">
        <f t="shared" si="4"/>
        <v>0</v>
      </c>
      <c r="S14" s="1585">
        <f t="shared" si="4"/>
        <v>0</v>
      </c>
      <c r="T14" s="1588">
        <f t="shared" si="4"/>
        <v>0</v>
      </c>
      <c r="U14" s="374"/>
      <c r="V14" s="374"/>
      <c r="W14" s="374"/>
      <c r="X14" s="374"/>
      <c r="Y14" s="374"/>
      <c r="Z14" s="374"/>
      <c r="AA14" s="374"/>
      <c r="AB14" s="374"/>
      <c r="AC14" s="374"/>
      <c r="AD14" s="374"/>
    </row>
    <row r="15" spans="1:45" x14ac:dyDescent="0.3">
      <c r="B15" s="1589"/>
      <c r="C15" s="1590" t="str">
        <f>IF('0 Úvod'!$M$10="English",Slovnik!D602,Slovnik!C602)</f>
        <v xml:space="preserve">Cash Flow </v>
      </c>
      <c r="D15" s="1057">
        <f t="shared" si="3"/>
        <v>0</v>
      </c>
      <c r="E15" s="1579"/>
      <c r="F15" s="1591">
        <f t="shared" ref="F15:T15" si="5">F11-F14</f>
        <v>0</v>
      </c>
      <c r="G15" s="1057">
        <f t="shared" si="5"/>
        <v>0</v>
      </c>
      <c r="H15" s="1057">
        <f t="shared" si="5"/>
        <v>0</v>
      </c>
      <c r="I15" s="1057">
        <f t="shared" si="5"/>
        <v>0</v>
      </c>
      <c r="J15" s="1057">
        <f t="shared" si="5"/>
        <v>0</v>
      </c>
      <c r="K15" s="1057">
        <f t="shared" si="5"/>
        <v>0</v>
      </c>
      <c r="L15" s="1057">
        <f t="shared" si="5"/>
        <v>0</v>
      </c>
      <c r="M15" s="1057">
        <f t="shared" si="5"/>
        <v>0</v>
      </c>
      <c r="N15" s="1057">
        <f t="shared" si="5"/>
        <v>0</v>
      </c>
      <c r="O15" s="1057">
        <f t="shared" si="5"/>
        <v>0</v>
      </c>
      <c r="P15" s="1057">
        <f t="shared" si="5"/>
        <v>0</v>
      </c>
      <c r="Q15" s="1057">
        <f t="shared" si="5"/>
        <v>0</v>
      </c>
      <c r="R15" s="1057">
        <f t="shared" si="5"/>
        <v>0</v>
      </c>
      <c r="S15" s="1057">
        <f t="shared" si="5"/>
        <v>0</v>
      </c>
      <c r="T15" s="1058">
        <f t="shared" si="5"/>
        <v>0</v>
      </c>
      <c r="U15" s="278"/>
      <c r="V15" s="278"/>
      <c r="W15" s="278"/>
      <c r="X15" s="278"/>
      <c r="Y15" s="278"/>
      <c r="Z15" s="278"/>
      <c r="AA15" s="278"/>
      <c r="AB15" s="278"/>
      <c r="AC15" s="278"/>
      <c r="AD15" s="278"/>
      <c r="AE15" s="373"/>
      <c r="AF15" s="373"/>
      <c r="AG15" s="373"/>
      <c r="AH15" s="373"/>
      <c r="AI15" s="373"/>
      <c r="AJ15" s="373"/>
      <c r="AK15" s="373"/>
      <c r="AL15" s="373"/>
      <c r="AM15" s="373"/>
      <c r="AN15" s="373"/>
      <c r="AO15" s="373"/>
      <c r="AP15" s="373"/>
      <c r="AQ15" s="373"/>
      <c r="AR15" s="373"/>
      <c r="AS15" s="373"/>
    </row>
    <row r="16" spans="1:45" x14ac:dyDescent="0.3">
      <c r="A16" s="375"/>
      <c r="B16" s="1076"/>
      <c r="C16" s="1572" t="str">
        <f>IF('0 Úvod'!$M$10="English",Slovnik!D603,Slovnik!C603)</f>
        <v>Diskontní sazba</v>
      </c>
      <c r="D16" s="1592">
        <f>'0 Úvod'!K20</f>
        <v>0.03</v>
      </c>
      <c r="E16" s="1593"/>
      <c r="F16" s="1594">
        <v>1</v>
      </c>
      <c r="G16" s="1595">
        <f>F16/(1+$D$16)</f>
        <v>0.970873786407767</v>
      </c>
      <c r="H16" s="1595">
        <f t="shared" ref="H16:T16" si="6">G16/(1+$D$16)</f>
        <v>0.94259590913375435</v>
      </c>
      <c r="I16" s="1595">
        <f t="shared" si="6"/>
        <v>0.9151416593531595</v>
      </c>
      <c r="J16" s="1595">
        <f t="shared" si="6"/>
        <v>0.88848704791568878</v>
      </c>
      <c r="K16" s="1595">
        <f t="shared" si="6"/>
        <v>0.86260878438416388</v>
      </c>
      <c r="L16" s="1595">
        <f t="shared" si="6"/>
        <v>0.83748425668365423</v>
      </c>
      <c r="M16" s="1595">
        <f t="shared" si="6"/>
        <v>0.81309151134335356</v>
      </c>
      <c r="N16" s="1595">
        <f t="shared" si="6"/>
        <v>0.7894092343139355</v>
      </c>
      <c r="O16" s="1595">
        <f t="shared" si="6"/>
        <v>0.76641673234362673</v>
      </c>
      <c r="P16" s="1595">
        <f t="shared" si="6"/>
        <v>0.74409391489672494</v>
      </c>
      <c r="Q16" s="1595">
        <f t="shared" si="6"/>
        <v>0.7224212765987621</v>
      </c>
      <c r="R16" s="1595">
        <f t="shared" si="6"/>
        <v>0.70137988019297293</v>
      </c>
      <c r="S16" s="1595">
        <f t="shared" si="6"/>
        <v>0.68095133999317758</v>
      </c>
      <c r="T16" s="1596">
        <f t="shared" si="6"/>
        <v>0.66111780581861901</v>
      </c>
      <c r="U16" s="376"/>
      <c r="V16" s="376"/>
      <c r="W16" s="376"/>
      <c r="X16" s="376"/>
      <c r="Y16" s="376"/>
      <c r="Z16" s="376"/>
      <c r="AA16" s="376"/>
      <c r="AB16" s="376"/>
      <c r="AC16" s="376"/>
      <c r="AD16" s="376"/>
    </row>
    <row r="17" spans="1:30" s="373" customFormat="1" ht="15" thickBot="1" x14ac:dyDescent="0.35">
      <c r="A17" s="278"/>
      <c r="B17" s="1597"/>
      <c r="C17" s="1598" t="str">
        <f>IF('0 Úvod'!$M$10="English",Slovnik!D604,Slovnik!C604)</f>
        <v>Diskontní cash flow</v>
      </c>
      <c r="D17" s="1599">
        <f>SUM(F17:T17,F34:T34)</f>
        <v>0</v>
      </c>
      <c r="E17" s="1600"/>
      <c r="F17" s="1601">
        <f>F15*F16</f>
        <v>0</v>
      </c>
      <c r="G17" s="1602">
        <f t="shared" ref="G17:T17" si="7">G15*G16</f>
        <v>0</v>
      </c>
      <c r="H17" s="1602">
        <f t="shared" si="7"/>
        <v>0</v>
      </c>
      <c r="I17" s="1602">
        <f t="shared" si="7"/>
        <v>0</v>
      </c>
      <c r="J17" s="1602">
        <f t="shared" si="7"/>
        <v>0</v>
      </c>
      <c r="K17" s="1602">
        <f t="shared" si="7"/>
        <v>0</v>
      </c>
      <c r="L17" s="1602">
        <f t="shared" si="7"/>
        <v>0</v>
      </c>
      <c r="M17" s="1602">
        <f t="shared" si="7"/>
        <v>0</v>
      </c>
      <c r="N17" s="1602">
        <f t="shared" si="7"/>
        <v>0</v>
      </c>
      <c r="O17" s="1602">
        <f t="shared" si="7"/>
        <v>0</v>
      </c>
      <c r="P17" s="1602">
        <f t="shared" si="7"/>
        <v>0</v>
      </c>
      <c r="Q17" s="1602">
        <f t="shared" si="7"/>
        <v>0</v>
      </c>
      <c r="R17" s="1602">
        <f t="shared" si="7"/>
        <v>0</v>
      </c>
      <c r="S17" s="1602">
        <f t="shared" si="7"/>
        <v>0</v>
      </c>
      <c r="T17" s="1603">
        <f t="shared" si="7"/>
        <v>0</v>
      </c>
      <c r="U17" s="278"/>
      <c r="V17" s="278"/>
      <c r="W17" s="278"/>
      <c r="X17" s="278"/>
      <c r="Y17" s="278"/>
      <c r="Z17" s="278"/>
      <c r="AA17" s="278"/>
      <c r="AB17" s="278"/>
      <c r="AC17" s="278"/>
      <c r="AD17" s="278"/>
    </row>
    <row r="18" spans="1:30" ht="13.5" customHeight="1" thickBot="1" x14ac:dyDescent="0.35">
      <c r="B18" s="1386"/>
      <c r="C18" s="1604"/>
      <c r="D18" s="1386"/>
      <c r="E18" s="1386"/>
      <c r="F18" s="1098">
        <f>IF(F2&gt;='0 Úvod'!$D$20,F4+F5,0)</f>
        <v>0</v>
      </c>
      <c r="G18" s="1098">
        <f>IF(G2&gt;='0 Úvod'!$D$20,G4+G5,0)</f>
        <v>0</v>
      </c>
      <c r="H18" s="1098">
        <f>IF(H2&gt;='0 Úvod'!$D$20,H4+H5,0)</f>
        <v>0</v>
      </c>
      <c r="I18" s="1098">
        <f>IF(I2&gt;='0 Úvod'!$D$20,I4+I5,0)</f>
        <v>0</v>
      </c>
      <c r="J18" s="1098">
        <f>IF(J2&gt;='0 Úvod'!$D$20,J4+J5,0)</f>
        <v>0</v>
      </c>
      <c r="K18" s="1098">
        <f>IF(K2&gt;='0 Úvod'!$D$20,K4+K5,0)</f>
        <v>0</v>
      </c>
      <c r="L18" s="1098">
        <f>IF(L2&gt;='0 Úvod'!$D$20,L4+L5,0)</f>
        <v>0</v>
      </c>
      <c r="M18" s="1098">
        <f>IF(M2&gt;='0 Úvod'!$D$20,M4+M5,0)</f>
        <v>0</v>
      </c>
      <c r="N18" s="1098">
        <f>IF(N2&gt;='0 Úvod'!$D$20,N4+N5,0)</f>
        <v>0</v>
      </c>
      <c r="O18" s="1098">
        <f>IF(O2&gt;='0 Úvod'!$D$20,O4+O5,0)</f>
        <v>0</v>
      </c>
      <c r="P18" s="1098">
        <f>IF(P2&gt;='0 Úvod'!$D$20,P4+P5,0)</f>
        <v>0</v>
      </c>
      <c r="Q18" s="1098">
        <f>IF(Q2&gt;='0 Úvod'!$D$20,Q4+Q5,0)</f>
        <v>0</v>
      </c>
      <c r="R18" s="1098">
        <f>IF(R2&gt;='0 Úvod'!$D$20,R4+R5,0)</f>
        <v>0</v>
      </c>
      <c r="S18" s="1098">
        <f>IF(S2&gt;='0 Úvod'!$D$20,S4+S5,0)</f>
        <v>0</v>
      </c>
      <c r="T18" s="1098">
        <f>IF(T2&gt;='0 Úvod'!$D$20,T4+T5,0)</f>
        <v>0</v>
      </c>
      <c r="U18" s="373"/>
      <c r="V18" s="373"/>
      <c r="W18" s="373"/>
      <c r="X18" s="373"/>
      <c r="Y18" s="373"/>
      <c r="Z18" s="373"/>
      <c r="AA18" s="373"/>
      <c r="AB18" s="373"/>
      <c r="AC18" s="373"/>
    </row>
    <row r="19" spans="1:30" x14ac:dyDescent="0.3">
      <c r="B19" s="1605" t="str">
        <f>B2</f>
        <v>13.1.</v>
      </c>
      <c r="C19" s="1606" t="str">
        <f>C2</f>
        <v>Ekonomická analýza (CZK)</v>
      </c>
      <c r="D19" s="1607"/>
      <c r="E19" s="1608"/>
      <c r="F19" s="2129">
        <f>T2+1</f>
        <v>2041</v>
      </c>
      <c r="G19" s="2127">
        <f t="shared" ref="G19:T19" si="8">F19+1</f>
        <v>2042</v>
      </c>
      <c r="H19" s="2127">
        <f t="shared" si="8"/>
        <v>2043</v>
      </c>
      <c r="I19" s="2127">
        <f t="shared" si="8"/>
        <v>2044</v>
      </c>
      <c r="J19" s="2127">
        <f t="shared" si="8"/>
        <v>2045</v>
      </c>
      <c r="K19" s="2127">
        <f t="shared" si="8"/>
        <v>2046</v>
      </c>
      <c r="L19" s="2127">
        <f t="shared" si="8"/>
        <v>2047</v>
      </c>
      <c r="M19" s="2127">
        <f t="shared" si="8"/>
        <v>2048</v>
      </c>
      <c r="N19" s="2127">
        <f t="shared" si="8"/>
        <v>2049</v>
      </c>
      <c r="O19" s="2127">
        <f t="shared" si="8"/>
        <v>2050</v>
      </c>
      <c r="P19" s="2127">
        <f t="shared" si="8"/>
        <v>2051</v>
      </c>
      <c r="Q19" s="2127">
        <f t="shared" si="8"/>
        <v>2052</v>
      </c>
      <c r="R19" s="2127">
        <f t="shared" si="8"/>
        <v>2053</v>
      </c>
      <c r="S19" s="2127">
        <f t="shared" si="8"/>
        <v>2054</v>
      </c>
      <c r="T19" s="2125">
        <f t="shared" si="8"/>
        <v>2055</v>
      </c>
      <c r="U19" s="247"/>
      <c r="V19" s="247"/>
      <c r="W19" s="247"/>
      <c r="X19" s="247"/>
      <c r="Y19" s="247"/>
      <c r="Z19" s="247"/>
      <c r="AA19" s="247"/>
      <c r="AB19" s="247"/>
      <c r="AC19" s="247"/>
      <c r="AD19" s="247"/>
    </row>
    <row r="20" spans="1:30" ht="15" thickBot="1" x14ac:dyDescent="0.35">
      <c r="A20" s="371"/>
      <c r="B20" s="1609" t="s">
        <v>5</v>
      </c>
      <c r="C20" s="1610"/>
      <c r="D20" s="1569"/>
      <c r="E20" s="1611"/>
      <c r="F20" s="2134"/>
      <c r="G20" s="2135"/>
      <c r="H20" s="2135"/>
      <c r="I20" s="2135"/>
      <c r="J20" s="2135"/>
      <c r="K20" s="2135"/>
      <c r="L20" s="2135"/>
      <c r="M20" s="2135"/>
      <c r="N20" s="2135"/>
      <c r="O20" s="2135"/>
      <c r="P20" s="2135"/>
      <c r="Q20" s="2135"/>
      <c r="R20" s="2135"/>
      <c r="S20" s="2135"/>
      <c r="T20" s="2136"/>
      <c r="U20" s="247"/>
      <c r="V20" s="247"/>
      <c r="W20" s="247"/>
      <c r="X20" s="247"/>
      <c r="Y20" s="247"/>
      <c r="Z20" s="247"/>
      <c r="AA20" s="247"/>
      <c r="AB20" s="247"/>
      <c r="AC20" s="247"/>
      <c r="AD20" s="247"/>
    </row>
    <row r="21" spans="1:30" x14ac:dyDescent="0.3">
      <c r="A21" s="371"/>
      <c r="B21" s="1061"/>
      <c r="C21" s="1572" t="str">
        <f>C4</f>
        <v>Celkem PN infrastruktura ostatní - úspora</v>
      </c>
      <c r="D21" s="1612"/>
      <c r="E21" s="1613"/>
      <c r="F21" s="1065">
        <f>IF(F$2&lt;='0 Úvod'!$G$18+'0 Úvod'!$J$18-1,-'4 PN infrastruktury'!E78*'13 Ekonomická analýza'!$E$4,0)</f>
        <v>0</v>
      </c>
      <c r="G21" s="1065">
        <f>IF(G$2&lt;='0 Úvod'!$G$18+'0 Úvod'!$J$18-1,-'4 PN infrastruktury'!F78*'13 Ekonomická analýza'!$E$4,0)</f>
        <v>0</v>
      </c>
      <c r="H21" s="1065">
        <f>IF(H$2&lt;='0 Úvod'!$G$18+'0 Úvod'!$J$18-1,-'4 PN infrastruktury'!G78*'13 Ekonomická analýza'!$E$4,0)</f>
        <v>0</v>
      </c>
      <c r="I21" s="1065">
        <f>IF(I$2&lt;='0 Úvod'!$G$18+'0 Úvod'!$J$18-1,-'4 PN infrastruktury'!H78*'13 Ekonomická analýza'!$E$4,0)</f>
        <v>0</v>
      </c>
      <c r="J21" s="1065">
        <f>IF(J$2&lt;='0 Úvod'!$G$18+'0 Úvod'!$J$18-1,-'4 PN infrastruktury'!I78*'13 Ekonomická analýza'!$E$4,0)</f>
        <v>0</v>
      </c>
      <c r="K21" s="1065">
        <f>IF(K$2&lt;='0 Úvod'!$G$18+'0 Úvod'!$J$18-1,-'4 PN infrastruktury'!J78*'13 Ekonomická analýza'!$E$4,0)</f>
        <v>0</v>
      </c>
      <c r="L21" s="1065">
        <f>IF(L$2&lt;='0 Úvod'!$G$18+'0 Úvod'!$J$18-1,-'4 PN infrastruktury'!K78*'13 Ekonomická analýza'!$E$4,0)</f>
        <v>0</v>
      </c>
      <c r="M21" s="1065">
        <f>IF(M$2&lt;='0 Úvod'!$G$18+'0 Úvod'!$J$18-1,-'4 PN infrastruktury'!L78*'13 Ekonomická analýza'!$E$4,0)</f>
        <v>0</v>
      </c>
      <c r="N21" s="1065">
        <f>IF(N$2&lt;='0 Úvod'!$G$18+'0 Úvod'!$J$18-1,-'4 PN infrastruktury'!M78*'13 Ekonomická analýza'!$E$4,0)</f>
        <v>0</v>
      </c>
      <c r="O21" s="1065">
        <f>IF(O$2&lt;='0 Úvod'!$G$18+'0 Úvod'!$J$18-1,-'4 PN infrastruktury'!N78*'13 Ekonomická analýza'!$E$4,0)</f>
        <v>0</v>
      </c>
      <c r="P21" s="1065">
        <f>IF(P$2&lt;='0 Úvod'!$G$18+'0 Úvod'!$J$18-1,-'4 PN infrastruktury'!O78*'13 Ekonomická analýza'!$E$4,0)</f>
        <v>0</v>
      </c>
      <c r="Q21" s="1065">
        <f>IF(Q$2&lt;='0 Úvod'!$G$18+'0 Úvod'!$J$18-1,-'4 PN infrastruktury'!P78*'13 Ekonomická analýza'!$E$4,0)</f>
        <v>0</v>
      </c>
      <c r="R21" s="1065">
        <f>IF(R$2&lt;='0 Úvod'!$G$18+'0 Úvod'!$J$18-1,-'4 PN infrastruktury'!Q78*'13 Ekonomická analýza'!$E$4,0)</f>
        <v>0</v>
      </c>
      <c r="S21" s="1065">
        <f>IF(S$2&lt;='0 Úvod'!$G$18+'0 Úvod'!$J$18-1,-'4 PN infrastruktury'!R78*'13 Ekonomická analýza'!$E$4,0)</f>
        <v>0</v>
      </c>
      <c r="T21" s="1066">
        <f>IF(T$2&lt;='0 Úvod'!$G$18+'0 Úvod'!$J$18-1,-'4 PN infrastruktury'!S78*'13 Ekonomická analýza'!$E$4,0)</f>
        <v>0</v>
      </c>
      <c r="U21" s="373"/>
      <c r="V21" s="373"/>
      <c r="W21" s="373"/>
      <c r="X21" s="373"/>
      <c r="Y21" s="373"/>
      <c r="Z21" s="373"/>
      <c r="AA21" s="373"/>
      <c r="AB21" s="373"/>
      <c r="AC21" s="373"/>
      <c r="AD21" s="373"/>
    </row>
    <row r="22" spans="1:30" x14ac:dyDescent="0.3">
      <c r="A22" s="371"/>
      <c r="B22" s="1061"/>
      <c r="C22" s="1572" t="str">
        <f t="shared" ref="C22:C27" si="9">C5</f>
        <v>Celkem PN vozidel MHD (vč. městský BUS) - úspora</v>
      </c>
      <c r="D22" s="1614"/>
      <c r="E22" s="1615"/>
      <c r="F22" s="1065">
        <f>IF(F$2&lt;='0 Úvod'!$G$18+'0 Úvod'!$J$18-1,-'5 PN vozidel MHD'!E87*'13 Ekonomická analýza'!$E$5,0)</f>
        <v>0</v>
      </c>
      <c r="G22" s="1065">
        <f>IF(G$2&lt;='0 Úvod'!$G$18+'0 Úvod'!$J$18-1,-'5 PN vozidel MHD'!F87*'13 Ekonomická analýza'!$E$5,0)</f>
        <v>0</v>
      </c>
      <c r="H22" s="1065">
        <f>IF(H$2&lt;='0 Úvod'!$G$18+'0 Úvod'!$J$18-1,-'5 PN vozidel MHD'!G87*'13 Ekonomická analýza'!$E$5,0)</f>
        <v>0</v>
      </c>
      <c r="I22" s="1065">
        <f>IF(I$2&lt;='0 Úvod'!$G$18+'0 Úvod'!$J$18-1,-'5 PN vozidel MHD'!H87*'13 Ekonomická analýza'!$E$5,0)</f>
        <v>0</v>
      </c>
      <c r="J22" s="1065">
        <f>IF(J$2&lt;='0 Úvod'!$G$18+'0 Úvod'!$J$18-1,-'5 PN vozidel MHD'!I87*'13 Ekonomická analýza'!$E$5,0)</f>
        <v>0</v>
      </c>
      <c r="K22" s="1065">
        <f>IF(K$2&lt;='0 Úvod'!$G$18+'0 Úvod'!$J$18-1,-'5 PN vozidel MHD'!J87*'13 Ekonomická analýza'!$E$5,0)</f>
        <v>0</v>
      </c>
      <c r="L22" s="1065">
        <f>IF(L$2&lt;='0 Úvod'!$G$18+'0 Úvod'!$J$18-1,-'5 PN vozidel MHD'!K87*'13 Ekonomická analýza'!$E$5,0)</f>
        <v>0</v>
      </c>
      <c r="M22" s="1065">
        <f>IF(M$2&lt;='0 Úvod'!$G$18+'0 Úvod'!$J$18-1,-'5 PN vozidel MHD'!L87*'13 Ekonomická analýza'!$E$5,0)</f>
        <v>0</v>
      </c>
      <c r="N22" s="1065">
        <f>IF(N$2&lt;='0 Úvod'!$G$18+'0 Úvod'!$J$18-1,-'5 PN vozidel MHD'!M87*'13 Ekonomická analýza'!$E$5,0)</f>
        <v>0</v>
      </c>
      <c r="O22" s="1065">
        <f>IF(O$2&lt;='0 Úvod'!$G$18+'0 Úvod'!$J$18-1,-'5 PN vozidel MHD'!N87*'13 Ekonomická analýza'!$E$5,0)</f>
        <v>0</v>
      </c>
      <c r="P22" s="1065">
        <f>IF(P$2&lt;='0 Úvod'!$G$18+'0 Úvod'!$J$18-1,-'5 PN vozidel MHD'!O87*'13 Ekonomická analýza'!$E$5,0)</f>
        <v>0</v>
      </c>
      <c r="Q22" s="1065">
        <f>IF(Q$2&lt;='0 Úvod'!$G$18+'0 Úvod'!$J$18-1,-'5 PN vozidel MHD'!P87*'13 Ekonomická analýza'!$E$5,0)</f>
        <v>0</v>
      </c>
      <c r="R22" s="1065">
        <f>IF(R$2&lt;='0 Úvod'!$G$18+'0 Úvod'!$J$18-1,-'5 PN vozidel MHD'!Q87*'13 Ekonomická analýza'!$E$5,0)</f>
        <v>0</v>
      </c>
      <c r="S22" s="1065">
        <f>IF(S$2&lt;='0 Úvod'!$G$18+'0 Úvod'!$J$18-1,-'5 PN vozidel MHD'!R87*'13 Ekonomická analýza'!$E$5,0)</f>
        <v>0</v>
      </c>
      <c r="T22" s="1066">
        <f>IF(T$2&lt;='0 Úvod'!$G$18+'0 Úvod'!$J$18-1,-'5 PN vozidel MHD'!S87*'13 Ekonomická analýza'!$E$5,0)</f>
        <v>0</v>
      </c>
      <c r="U22" s="373"/>
      <c r="V22" s="373"/>
      <c r="W22" s="373"/>
      <c r="X22" s="373"/>
      <c r="Y22" s="373"/>
      <c r="Z22" s="373"/>
      <c r="AA22" s="373"/>
      <c r="AB22" s="373"/>
      <c r="AC22" s="373"/>
      <c r="AD22" s="373"/>
    </row>
    <row r="23" spans="1:30" x14ac:dyDescent="0.3">
      <c r="A23" s="371"/>
      <c r="B23" s="1061"/>
      <c r="C23" s="1572" t="str">
        <f t="shared" si="9"/>
        <v>Celkem úspory z cestovních dob</v>
      </c>
      <c r="D23" s="1614"/>
      <c r="E23" s="1615"/>
      <c r="F23" s="1065">
        <f>IF(F$2&lt;='0 Úvod'!$G$18+'0 Úvod'!$J$18-1,'8 Úspory času'!F54,0)</f>
        <v>0</v>
      </c>
      <c r="G23" s="1065">
        <f>IF(G$2&lt;='0 Úvod'!$G$18+'0 Úvod'!$J$18-1,'8 Úspory času'!G54,0)</f>
        <v>0</v>
      </c>
      <c r="H23" s="1065">
        <f>IF(H$2&lt;='0 Úvod'!$G$18+'0 Úvod'!$J$18-1,'8 Úspory času'!H54,0)</f>
        <v>0</v>
      </c>
      <c r="I23" s="1065">
        <f>IF(I$2&lt;='0 Úvod'!$G$18+'0 Úvod'!$J$18-1,'8 Úspory času'!I54,0)</f>
        <v>0</v>
      </c>
      <c r="J23" s="1065">
        <f>IF(J$2&lt;='0 Úvod'!$G$18+'0 Úvod'!$J$18-1,'8 Úspory času'!J54,0)</f>
        <v>0</v>
      </c>
      <c r="K23" s="1065">
        <f>IF(K$2&lt;='0 Úvod'!$G$18+'0 Úvod'!$J$18-1,'8 Úspory času'!K54,0)</f>
        <v>0</v>
      </c>
      <c r="L23" s="1065">
        <f>IF(L$2&lt;='0 Úvod'!$G$18+'0 Úvod'!$J$18-1,'8 Úspory času'!L54,0)</f>
        <v>0</v>
      </c>
      <c r="M23" s="1065">
        <f>IF(M$2&lt;='0 Úvod'!$G$18+'0 Úvod'!$J$18-1,'8 Úspory času'!M54,0)</f>
        <v>0</v>
      </c>
      <c r="N23" s="1065">
        <f>IF(N$2&lt;='0 Úvod'!$G$18+'0 Úvod'!$J$18-1,'8 Úspory času'!N54,0)</f>
        <v>0</v>
      </c>
      <c r="O23" s="1065">
        <f>IF(O$2&lt;='0 Úvod'!$G$18+'0 Úvod'!$J$18-1,'8 Úspory času'!O54,0)</f>
        <v>0</v>
      </c>
      <c r="P23" s="1065">
        <f>IF(P$2&lt;='0 Úvod'!$G$18+'0 Úvod'!$J$18-1,'8 Úspory času'!P54,0)</f>
        <v>0</v>
      </c>
      <c r="Q23" s="1065">
        <f>IF(Q$2&lt;='0 Úvod'!$G$18+'0 Úvod'!$J$18-1,'8 Úspory času'!Q54,0)</f>
        <v>0</v>
      </c>
      <c r="R23" s="1065">
        <f>IF(R$2&lt;='0 Úvod'!$G$18+'0 Úvod'!$J$18-1,'8 Úspory času'!R54,0)</f>
        <v>0</v>
      </c>
      <c r="S23" s="1065">
        <f>IF(S$2&lt;='0 Úvod'!$G$18+'0 Úvod'!$J$18-1,'8 Úspory času'!S54,0)</f>
        <v>0</v>
      </c>
      <c r="T23" s="1066">
        <f>IF(T$2&lt;='0 Úvod'!$G$18+'0 Úvod'!$J$18-1,'8 Úspory času'!T54,0)</f>
        <v>0</v>
      </c>
      <c r="U23" s="373"/>
      <c r="V23" s="373"/>
      <c r="W23" s="373"/>
      <c r="X23" s="373"/>
      <c r="Y23" s="373"/>
      <c r="Z23" s="373"/>
      <c r="AA23" s="373"/>
      <c r="AB23" s="373"/>
      <c r="AC23" s="373"/>
      <c r="AD23" s="373"/>
    </row>
    <row r="24" spans="1:30" x14ac:dyDescent="0.3">
      <c r="A24" s="371"/>
      <c r="B24" s="1061"/>
      <c r="C24" s="1572" t="str">
        <f t="shared" si="9"/>
        <v>Celkem úspory hluku a nehodovosti</v>
      </c>
      <c r="D24" s="1614"/>
      <c r="E24" s="1615"/>
      <c r="F24" s="1065">
        <f>IF(F$2&lt;='0 Úvod'!$G$18+'0 Úvod'!$J$18-1,'9 Hluk a nehodovost'!E68,0)</f>
        <v>0</v>
      </c>
      <c r="G24" s="1065">
        <f>IF(G$2&lt;='0 Úvod'!$G$18+'0 Úvod'!$J$18-1,'9 Hluk a nehodovost'!F68,0)</f>
        <v>0</v>
      </c>
      <c r="H24" s="1065">
        <f>IF(H$2&lt;='0 Úvod'!$G$18+'0 Úvod'!$J$18-1,'9 Hluk a nehodovost'!G68,0)</f>
        <v>0</v>
      </c>
      <c r="I24" s="1065">
        <f>IF(I$2&lt;='0 Úvod'!$G$18+'0 Úvod'!$J$18-1,'9 Hluk a nehodovost'!H68,0)</f>
        <v>0</v>
      </c>
      <c r="J24" s="1065">
        <f>IF(J$2&lt;='0 Úvod'!$G$18+'0 Úvod'!$J$18-1,'9 Hluk a nehodovost'!I68,0)</f>
        <v>0</v>
      </c>
      <c r="K24" s="1065">
        <f>IF(K$2&lt;='0 Úvod'!$G$18+'0 Úvod'!$J$18-1,'9 Hluk a nehodovost'!J68,0)</f>
        <v>0</v>
      </c>
      <c r="L24" s="1065">
        <f>IF(L$2&lt;='0 Úvod'!$G$18+'0 Úvod'!$J$18-1,'9 Hluk a nehodovost'!K68,0)</f>
        <v>0</v>
      </c>
      <c r="M24" s="1065">
        <f>IF(M$2&lt;='0 Úvod'!$G$18+'0 Úvod'!$J$18-1,'9 Hluk a nehodovost'!L68,0)</f>
        <v>0</v>
      </c>
      <c r="N24" s="1065">
        <f>IF(N$2&lt;='0 Úvod'!$G$18+'0 Úvod'!$J$18-1,'9 Hluk a nehodovost'!M68,0)</f>
        <v>0</v>
      </c>
      <c r="O24" s="1065">
        <f>IF(O$2&lt;='0 Úvod'!$G$18+'0 Úvod'!$J$18-1,'9 Hluk a nehodovost'!N68,0)</f>
        <v>0</v>
      </c>
      <c r="P24" s="1065">
        <f>IF(P$2&lt;='0 Úvod'!$G$18+'0 Úvod'!$J$18-1,'9 Hluk a nehodovost'!O68,0)</f>
        <v>0</v>
      </c>
      <c r="Q24" s="1065">
        <f>IF(Q$2&lt;='0 Úvod'!$G$18+'0 Úvod'!$J$18-1,'9 Hluk a nehodovost'!P68,0)</f>
        <v>0</v>
      </c>
      <c r="R24" s="1065">
        <f>IF(R$2&lt;='0 Úvod'!$G$18+'0 Úvod'!$J$18-1,'9 Hluk a nehodovost'!Q68,0)</f>
        <v>0</v>
      </c>
      <c r="S24" s="1065">
        <f>IF(S$2&lt;='0 Úvod'!$G$18+'0 Úvod'!$J$18-1,'9 Hluk a nehodovost'!R68,0)</f>
        <v>0</v>
      </c>
      <c r="T24" s="1066">
        <f>IF(T$2&lt;='0 Úvod'!$G$18+'0 Úvod'!$J$18-1,'9 Hluk a nehodovost'!S68,0)</f>
        <v>0</v>
      </c>
      <c r="U24" s="373"/>
      <c r="V24" s="373"/>
      <c r="W24" s="373"/>
      <c r="X24" s="373"/>
      <c r="Y24" s="373"/>
      <c r="Z24" s="373"/>
      <c r="AA24" s="373"/>
      <c r="AB24" s="373"/>
      <c r="AC24" s="373"/>
      <c r="AD24" s="373"/>
    </row>
    <row r="25" spans="1:30" x14ac:dyDescent="0.3">
      <c r="A25" s="371"/>
      <c r="B25" s="1061"/>
      <c r="C25" s="1572" t="str">
        <f t="shared" si="9"/>
        <v>Celkem úspory emisí a vlivů na ŽP</v>
      </c>
      <c r="D25" s="1614"/>
      <c r="E25" s="1615"/>
      <c r="F25" s="1065">
        <f>IF(F$2&lt;='0 Úvod'!$G$18+'0 Úvod'!$J$18-1,'10 Emise a ŽP'!E90,0)</f>
        <v>0</v>
      </c>
      <c r="G25" s="1065">
        <f>IF(G$2&lt;='0 Úvod'!$G$18+'0 Úvod'!$J$18-1,'10 Emise a ŽP'!F90,0)</f>
        <v>0</v>
      </c>
      <c r="H25" s="1065">
        <f>IF(H$2&lt;='0 Úvod'!$G$18+'0 Úvod'!$J$18-1,'10 Emise a ŽP'!G90,0)</f>
        <v>0</v>
      </c>
      <c r="I25" s="1065">
        <f>IF(I$2&lt;='0 Úvod'!$G$18+'0 Úvod'!$J$18-1,'10 Emise a ŽP'!H90,0)</f>
        <v>0</v>
      </c>
      <c r="J25" s="1065">
        <f>IF(J$2&lt;='0 Úvod'!$G$18+'0 Úvod'!$J$18-1,'10 Emise a ŽP'!I90,0)</f>
        <v>0</v>
      </c>
      <c r="K25" s="1065">
        <f>IF(K$2&lt;='0 Úvod'!$G$18+'0 Úvod'!$J$18-1,'10 Emise a ŽP'!J90,0)</f>
        <v>0</v>
      </c>
      <c r="L25" s="1065">
        <f>IF(L$2&lt;='0 Úvod'!$G$18+'0 Úvod'!$J$18-1,'10 Emise a ŽP'!K90,0)</f>
        <v>0</v>
      </c>
      <c r="M25" s="1065">
        <f>IF(M$2&lt;='0 Úvod'!$G$18+'0 Úvod'!$J$18-1,'10 Emise a ŽP'!L90,0)</f>
        <v>0</v>
      </c>
      <c r="N25" s="1065">
        <f>IF(N$2&lt;='0 Úvod'!$G$18+'0 Úvod'!$J$18-1,'10 Emise a ŽP'!M90,0)</f>
        <v>0</v>
      </c>
      <c r="O25" s="1065">
        <f>IF(O$2&lt;='0 Úvod'!$G$18+'0 Úvod'!$J$18-1,'10 Emise a ŽP'!N90,0)</f>
        <v>0</v>
      </c>
      <c r="P25" s="1065">
        <f>IF(P$2&lt;='0 Úvod'!$G$18+'0 Úvod'!$J$18-1,'10 Emise a ŽP'!O90,0)</f>
        <v>0</v>
      </c>
      <c r="Q25" s="1065">
        <f>IF(Q$2&lt;='0 Úvod'!$G$18+'0 Úvod'!$J$18-1,'10 Emise a ŽP'!P90,0)</f>
        <v>0</v>
      </c>
      <c r="R25" s="1065">
        <f>IF(R$2&lt;='0 Úvod'!$G$18+'0 Úvod'!$J$18-1,'10 Emise a ŽP'!Q90,0)</f>
        <v>0</v>
      </c>
      <c r="S25" s="1065">
        <f>IF(S$2&lt;='0 Úvod'!$G$18+'0 Úvod'!$J$18-1,'10 Emise a ŽP'!R90,0)</f>
        <v>0</v>
      </c>
      <c r="T25" s="1066">
        <f>IF(T$2&lt;='0 Úvod'!$G$18+'0 Úvod'!$J$18-1,'10 Emise a ŽP'!S90,0)</f>
        <v>0</v>
      </c>
      <c r="U25" s="373"/>
      <c r="V25" s="373"/>
      <c r="W25" s="373"/>
      <c r="X25" s="373"/>
      <c r="Y25" s="373"/>
      <c r="Z25" s="373"/>
      <c r="AA25" s="373"/>
      <c r="AB25" s="373"/>
      <c r="AC25" s="373"/>
      <c r="AD25" s="373"/>
    </row>
    <row r="26" spans="1:30" x14ac:dyDescent="0.3">
      <c r="A26" s="371"/>
      <c r="B26" s="1061"/>
      <c r="C26" s="1572" t="str">
        <f t="shared" si="9"/>
        <v xml:space="preserve">Celkem úspory vlivů na změny klimatu </v>
      </c>
      <c r="D26" s="1614"/>
      <c r="E26" s="1615"/>
      <c r="F26" s="1065">
        <f>IF(F$2&lt;='0 Úvod'!$G$18+'0 Úvod'!$J$18-1,'11 Klima'!E50,0)</f>
        <v>0</v>
      </c>
      <c r="G26" s="1065">
        <f>IF(G$2&lt;='0 Úvod'!$G$18+'0 Úvod'!$J$18-1,'11 Klima'!F50,0)</f>
        <v>0</v>
      </c>
      <c r="H26" s="1065">
        <f>IF(H$2&lt;='0 Úvod'!$G$18+'0 Úvod'!$J$18-1,'11 Klima'!G50,0)</f>
        <v>0</v>
      </c>
      <c r="I26" s="1065">
        <f>IF(I$2&lt;='0 Úvod'!$G$18+'0 Úvod'!$J$18-1,'11 Klima'!H50,0)</f>
        <v>0</v>
      </c>
      <c r="J26" s="1065">
        <f>IF(J$2&lt;='0 Úvod'!$G$18+'0 Úvod'!$J$18-1,'11 Klima'!I50,0)</f>
        <v>0</v>
      </c>
      <c r="K26" s="1065">
        <f>IF(K$2&lt;='0 Úvod'!$G$18+'0 Úvod'!$J$18-1,'11 Klima'!J50,0)</f>
        <v>0</v>
      </c>
      <c r="L26" s="1065">
        <f>IF(L$2&lt;='0 Úvod'!$G$18+'0 Úvod'!$J$18-1,'11 Klima'!K50,0)</f>
        <v>0</v>
      </c>
      <c r="M26" s="1065">
        <f>IF(M$2&lt;='0 Úvod'!$G$18+'0 Úvod'!$J$18-1,'11 Klima'!L50,0)</f>
        <v>0</v>
      </c>
      <c r="N26" s="1065">
        <f>IF(N$2&lt;='0 Úvod'!$G$18+'0 Úvod'!$J$18-1,'11 Klima'!M50,0)</f>
        <v>0</v>
      </c>
      <c r="O26" s="1065">
        <f>IF(O$2&lt;='0 Úvod'!$G$18+'0 Úvod'!$J$18-1,'11 Klima'!N50,0)</f>
        <v>0</v>
      </c>
      <c r="P26" s="1065">
        <f>IF(P$2&lt;='0 Úvod'!$G$18+'0 Úvod'!$J$18-1,'11 Klima'!O50,0)</f>
        <v>0</v>
      </c>
      <c r="Q26" s="1065">
        <f>IF(Q$2&lt;='0 Úvod'!$G$18+'0 Úvod'!$J$18-1,'11 Klima'!P50,0)</f>
        <v>0</v>
      </c>
      <c r="R26" s="1065">
        <f>IF(R$2&lt;='0 Úvod'!$G$18+'0 Úvod'!$J$18-1,'11 Klima'!Q50,0)</f>
        <v>0</v>
      </c>
      <c r="S26" s="1065">
        <f>IF(S$2&lt;='0 Úvod'!$G$18+'0 Úvod'!$J$18-1,'11 Klima'!R50,0)</f>
        <v>0</v>
      </c>
      <c r="T26" s="1066">
        <f>IF(T$2&lt;='0 Úvod'!$G$18+'0 Úvod'!$J$18-1,'11 Klima'!S50,0)</f>
        <v>0</v>
      </c>
      <c r="U26" s="373"/>
      <c r="V26" s="373"/>
      <c r="W26" s="373"/>
      <c r="X26" s="373"/>
      <c r="Y26" s="373"/>
      <c r="Z26" s="373"/>
      <c r="AA26" s="373"/>
      <c r="AB26" s="373"/>
      <c r="AC26" s="373"/>
      <c r="AD26" s="373"/>
    </row>
    <row r="27" spans="1:30" x14ac:dyDescent="0.3">
      <c r="A27" s="371"/>
      <c r="B27" s="1061"/>
      <c r="C27" s="1572" t="str">
        <f t="shared" si="9"/>
        <v>Celkem ostatní přínosy</v>
      </c>
      <c r="D27" s="1614"/>
      <c r="E27" s="1615"/>
      <c r="F27" s="1065">
        <f>IF(F$2&lt;='0 Úvod'!$G$18+'0 Úvod'!$J$18-1,'12 Ostatní přínosy'!E33,0)</f>
        <v>0</v>
      </c>
      <c r="G27" s="1065">
        <f>IF(G$2&lt;='0 Úvod'!$G$18+'0 Úvod'!$J$18-1,'12 Ostatní přínosy'!F33,0)</f>
        <v>0</v>
      </c>
      <c r="H27" s="1065">
        <f>IF(H$2&lt;='0 Úvod'!$G$18+'0 Úvod'!$J$18-1,'12 Ostatní přínosy'!G33,0)</f>
        <v>0</v>
      </c>
      <c r="I27" s="1065">
        <f>IF(I$2&lt;='0 Úvod'!$G$18+'0 Úvod'!$J$18-1,'12 Ostatní přínosy'!H33,0)</f>
        <v>0</v>
      </c>
      <c r="J27" s="1065">
        <f>IF(J$2&lt;='0 Úvod'!$G$18+'0 Úvod'!$J$18-1,'12 Ostatní přínosy'!I33,0)</f>
        <v>0</v>
      </c>
      <c r="K27" s="1065">
        <f>IF(K$2&lt;='0 Úvod'!$G$18+'0 Úvod'!$J$18-1,'12 Ostatní přínosy'!J33,0)</f>
        <v>0</v>
      </c>
      <c r="L27" s="1065">
        <f>IF(L$2&lt;='0 Úvod'!$G$18+'0 Úvod'!$J$18-1,'12 Ostatní přínosy'!K33,0)</f>
        <v>0</v>
      </c>
      <c r="M27" s="1065">
        <f>IF(M$2&lt;='0 Úvod'!$G$18+'0 Úvod'!$J$18-1,'12 Ostatní přínosy'!L33,0)</f>
        <v>0</v>
      </c>
      <c r="N27" s="1065">
        <f>IF(N$2&lt;='0 Úvod'!$G$18+'0 Úvod'!$J$18-1,'12 Ostatní přínosy'!M33,0)</f>
        <v>0</v>
      </c>
      <c r="O27" s="1065">
        <f>IF(O$2&lt;='0 Úvod'!$G$18+'0 Úvod'!$J$18-1,'12 Ostatní přínosy'!N33,0)</f>
        <v>0</v>
      </c>
      <c r="P27" s="1065">
        <f>IF(P$2&lt;='0 Úvod'!$G$18+'0 Úvod'!$J$18-1,'12 Ostatní přínosy'!O33,0)</f>
        <v>0</v>
      </c>
      <c r="Q27" s="1065">
        <f>IF(Q$2&lt;='0 Úvod'!$G$18+'0 Úvod'!$J$18-1,'12 Ostatní přínosy'!P33,0)</f>
        <v>0</v>
      </c>
      <c r="R27" s="1065">
        <f>IF(R$2&lt;='0 Úvod'!$G$18+'0 Úvod'!$J$18-1,'12 Ostatní přínosy'!Q33,0)</f>
        <v>0</v>
      </c>
      <c r="S27" s="1065">
        <f>IF(S$2&lt;='0 Úvod'!$G$18+'0 Úvod'!$J$18-1,'12 Ostatní přínosy'!R33,0)</f>
        <v>0</v>
      </c>
      <c r="T27" s="1066">
        <f>IF(T$2&lt;='0 Úvod'!$G$18+'0 Úvod'!$J$18-1,'12 Ostatní přínosy'!S33,0)</f>
        <v>0</v>
      </c>
      <c r="U27" s="373"/>
      <c r="V27" s="373"/>
      <c r="W27" s="373"/>
      <c r="X27" s="373"/>
      <c r="Y27" s="373"/>
      <c r="Z27" s="373"/>
      <c r="AA27" s="373"/>
      <c r="AB27" s="373"/>
      <c r="AC27" s="373"/>
      <c r="AD27" s="373"/>
    </row>
    <row r="28" spans="1:30" x14ac:dyDescent="0.3">
      <c r="B28" s="1576"/>
      <c r="C28" s="1577" t="str">
        <f t="shared" ref="C28:C34" si="10">C11</f>
        <v>Celkové přínosy</v>
      </c>
      <c r="D28" s="1581"/>
      <c r="E28" s="1582"/>
      <c r="F28" s="1580">
        <f t="shared" ref="F28:T28" si="11">SUM(F21:F27)</f>
        <v>0</v>
      </c>
      <c r="G28" s="1581">
        <f t="shared" si="11"/>
        <v>0</v>
      </c>
      <c r="H28" s="1581">
        <f t="shared" si="11"/>
        <v>0</v>
      </c>
      <c r="I28" s="1581">
        <f t="shared" si="11"/>
        <v>0</v>
      </c>
      <c r="J28" s="1581">
        <f t="shared" si="11"/>
        <v>0</v>
      </c>
      <c r="K28" s="1581">
        <f t="shared" si="11"/>
        <v>0</v>
      </c>
      <c r="L28" s="1581">
        <f t="shared" si="11"/>
        <v>0</v>
      </c>
      <c r="M28" s="1581">
        <f t="shared" si="11"/>
        <v>0</v>
      </c>
      <c r="N28" s="1581">
        <f t="shared" si="11"/>
        <v>0</v>
      </c>
      <c r="O28" s="1581">
        <f t="shared" si="11"/>
        <v>0</v>
      </c>
      <c r="P28" s="1581">
        <f t="shared" si="11"/>
        <v>0</v>
      </c>
      <c r="Q28" s="1581">
        <f t="shared" si="11"/>
        <v>0</v>
      </c>
      <c r="R28" s="1581">
        <f t="shared" si="11"/>
        <v>0</v>
      </c>
      <c r="S28" s="1581">
        <f t="shared" si="11"/>
        <v>0</v>
      </c>
      <c r="T28" s="1582">
        <f t="shared" si="11"/>
        <v>0</v>
      </c>
      <c r="U28" s="278"/>
      <c r="V28" s="278"/>
      <c r="W28" s="278"/>
      <c r="X28" s="278"/>
      <c r="Y28" s="278"/>
      <c r="Z28" s="278"/>
      <c r="AA28" s="278"/>
      <c r="AB28" s="278"/>
      <c r="AC28" s="278"/>
      <c r="AD28" s="278"/>
    </row>
    <row r="29" spans="1:30" x14ac:dyDescent="0.3">
      <c r="A29" s="371"/>
      <c r="B29" s="1076"/>
      <c r="C29" s="1616" t="str">
        <f t="shared" si="10"/>
        <v>Celkem investiční náklady bez rezervy</v>
      </c>
      <c r="D29" s="1120"/>
      <c r="E29" s="1118"/>
      <c r="F29" s="1064"/>
      <c r="G29" s="1065"/>
      <c r="H29" s="1065"/>
      <c r="I29" s="1065"/>
      <c r="J29" s="1065"/>
      <c r="K29" s="1065"/>
      <c r="L29" s="1065"/>
      <c r="M29" s="1065"/>
      <c r="N29" s="1065"/>
      <c r="O29" s="1065"/>
      <c r="P29" s="1065"/>
      <c r="Q29" s="1065"/>
      <c r="R29" s="1065"/>
      <c r="S29" s="1065"/>
      <c r="T29" s="1066"/>
      <c r="U29" s="373"/>
      <c r="V29" s="373"/>
      <c r="W29" s="373"/>
      <c r="X29" s="373"/>
      <c r="Y29" s="373"/>
      <c r="Z29" s="373"/>
      <c r="AA29" s="373"/>
      <c r="AB29" s="373"/>
      <c r="AC29" s="373"/>
      <c r="AD29" s="373"/>
    </row>
    <row r="30" spans="1:30" x14ac:dyDescent="0.3">
      <c r="A30" s="371"/>
      <c r="B30" s="1076"/>
      <c r="C30" s="1616" t="str">
        <f t="shared" si="10"/>
        <v>Zůstatková hodnota (záporná)</v>
      </c>
      <c r="D30" s="1120"/>
      <c r="E30" s="1118"/>
      <c r="F30" s="1064">
        <f>IF(F19='0 Úvod'!$G$18+'0 Úvod'!$J$18-1,-1*'2 ZH'!$I$48,0)</f>
        <v>0</v>
      </c>
      <c r="G30" s="1065">
        <f>IF(G19='0 Úvod'!$G$18+'0 Úvod'!$J$18-1,-1*'2 ZH'!$I$48,0)</f>
        <v>0</v>
      </c>
      <c r="H30" s="1065">
        <f>IF(H19='0 Úvod'!$G$18+'0 Úvod'!$J$18-1,-1*'2 ZH'!$I$48,0)</f>
        <v>0</v>
      </c>
      <c r="I30" s="1065">
        <f>IF(I19='0 Úvod'!$G$18+'0 Úvod'!$J$18-1,-1*'2 ZH'!$I$48,0)</f>
        <v>0</v>
      </c>
      <c r="J30" s="1065">
        <f>IF(J19='0 Úvod'!$G$18+'0 Úvod'!$J$18-1,-1*'2 ZH'!$I$48,0)</f>
        <v>0</v>
      </c>
      <c r="K30" s="1065">
        <f>IF(K19='0 Úvod'!$G$18+'0 Úvod'!$J$18-1,-1*'2 ZH'!$I$48,0)</f>
        <v>0</v>
      </c>
      <c r="L30" s="1065">
        <f>IF(L19='0 Úvod'!$G$18+'0 Úvod'!$J$18-1,-1*'2 ZH'!$I$48,0)</f>
        <v>0</v>
      </c>
      <c r="M30" s="1065">
        <f>IF(M19='0 Úvod'!$G$18+'0 Úvod'!$J$18-1,-1*'2 ZH'!$I$48,0)</f>
        <v>0</v>
      </c>
      <c r="N30" s="1065">
        <f>IF(N19='0 Úvod'!$G$18+'0 Úvod'!$J$18-1,-1*'2 ZH'!$I$48,0)</f>
        <v>0</v>
      </c>
      <c r="O30" s="1065">
        <f>IF(O19='0 Úvod'!$G$18+'0 Úvod'!$J$18-1,-1*'2 ZH'!$I$48,0)</f>
        <v>0</v>
      </c>
      <c r="P30" s="1065">
        <f>IF(P19='0 Úvod'!$G$18+'0 Úvod'!$J$18-1,-1*'2 ZH'!$I$48,0)</f>
        <v>0</v>
      </c>
      <c r="Q30" s="1065">
        <f>IF(Q19='0 Úvod'!$G$18+'0 Úvod'!$J$18-1,-1*'2 ZH'!$I$48,0)</f>
        <v>0</v>
      </c>
      <c r="R30" s="1065">
        <f>IF(R19='0 Úvod'!$G$18+'0 Úvod'!$J$18-1,-1*'2 ZH'!$I$48,0)</f>
        <v>0</v>
      </c>
      <c r="S30" s="1065">
        <f>IF(S19='0 Úvod'!$G$18+'0 Úvod'!$J$18-1,-1*'2 ZH'!$I$48,0)</f>
        <v>0</v>
      </c>
      <c r="T30" s="1066">
        <f>IF(T19='0 Úvod'!$G$18+'0 Úvod'!$J$18-1,-1*'2 ZH'!$I$48,0)</f>
        <v>0</v>
      </c>
      <c r="U30" s="373"/>
      <c r="V30" s="373"/>
      <c r="W30" s="373"/>
      <c r="X30" s="373"/>
      <c r="Y30" s="373"/>
      <c r="Z30" s="373"/>
      <c r="AA30" s="373"/>
      <c r="AB30" s="373"/>
      <c r="AC30" s="373"/>
      <c r="AD30" s="373"/>
    </row>
    <row r="31" spans="1:30" x14ac:dyDescent="0.3">
      <c r="B31" s="1576"/>
      <c r="C31" s="1617" t="str">
        <f t="shared" si="10"/>
        <v>Celkové náklady</v>
      </c>
      <c r="D31" s="1581"/>
      <c r="E31" s="1582"/>
      <c r="F31" s="1580">
        <f t="shared" ref="F31:T31" si="12">SUM(F29:F30)</f>
        <v>0</v>
      </c>
      <c r="G31" s="1581">
        <f t="shared" si="12"/>
        <v>0</v>
      </c>
      <c r="H31" s="1581">
        <f t="shared" si="12"/>
        <v>0</v>
      </c>
      <c r="I31" s="1581">
        <f t="shared" si="12"/>
        <v>0</v>
      </c>
      <c r="J31" s="1581">
        <f t="shared" si="12"/>
        <v>0</v>
      </c>
      <c r="K31" s="1581">
        <f t="shared" si="12"/>
        <v>0</v>
      </c>
      <c r="L31" s="1581">
        <f t="shared" si="12"/>
        <v>0</v>
      </c>
      <c r="M31" s="1581">
        <f t="shared" si="12"/>
        <v>0</v>
      </c>
      <c r="N31" s="1581">
        <f t="shared" si="12"/>
        <v>0</v>
      </c>
      <c r="O31" s="1581">
        <f t="shared" si="12"/>
        <v>0</v>
      </c>
      <c r="P31" s="1581">
        <f t="shared" si="12"/>
        <v>0</v>
      </c>
      <c r="Q31" s="1581">
        <f t="shared" si="12"/>
        <v>0</v>
      </c>
      <c r="R31" s="1581">
        <f t="shared" si="12"/>
        <v>0</v>
      </c>
      <c r="S31" s="1581">
        <f t="shared" si="12"/>
        <v>0</v>
      </c>
      <c r="T31" s="1582">
        <f t="shared" si="12"/>
        <v>0</v>
      </c>
      <c r="U31" s="278"/>
      <c r="V31" s="278"/>
      <c r="W31" s="278"/>
      <c r="X31" s="278"/>
      <c r="Y31" s="278"/>
      <c r="Z31" s="278"/>
      <c r="AA31" s="278"/>
      <c r="AB31" s="278"/>
      <c r="AC31" s="278"/>
      <c r="AD31" s="278"/>
    </row>
    <row r="32" spans="1:30" x14ac:dyDescent="0.3">
      <c r="B32" s="1589"/>
      <c r="C32" s="1104" t="str">
        <f t="shared" si="10"/>
        <v xml:space="preserve">Cash Flow </v>
      </c>
      <c r="D32" s="1115"/>
      <c r="E32" s="1116"/>
      <c r="F32" s="1618">
        <f t="shared" ref="F32:T32" si="13">F28-F31</f>
        <v>0</v>
      </c>
      <c r="G32" s="1115">
        <f t="shared" si="13"/>
        <v>0</v>
      </c>
      <c r="H32" s="1115">
        <f t="shared" si="13"/>
        <v>0</v>
      </c>
      <c r="I32" s="1115">
        <f t="shared" si="13"/>
        <v>0</v>
      </c>
      <c r="J32" s="1115">
        <f t="shared" si="13"/>
        <v>0</v>
      </c>
      <c r="K32" s="1115">
        <f t="shared" si="13"/>
        <v>0</v>
      </c>
      <c r="L32" s="1115">
        <f t="shared" si="13"/>
        <v>0</v>
      </c>
      <c r="M32" s="1115">
        <f t="shared" si="13"/>
        <v>0</v>
      </c>
      <c r="N32" s="1115">
        <f t="shared" si="13"/>
        <v>0</v>
      </c>
      <c r="O32" s="1115">
        <f t="shared" si="13"/>
        <v>0</v>
      </c>
      <c r="P32" s="1115">
        <f t="shared" si="13"/>
        <v>0</v>
      </c>
      <c r="Q32" s="1115">
        <f t="shared" si="13"/>
        <v>0</v>
      </c>
      <c r="R32" s="1115">
        <f t="shared" si="13"/>
        <v>0</v>
      </c>
      <c r="S32" s="1115">
        <f t="shared" si="13"/>
        <v>0</v>
      </c>
      <c r="T32" s="1116">
        <f t="shared" si="13"/>
        <v>0</v>
      </c>
      <c r="U32" s="377"/>
      <c r="V32" s="377"/>
      <c r="W32" s="377"/>
      <c r="X32" s="377"/>
      <c r="Y32" s="377"/>
      <c r="Z32" s="377"/>
      <c r="AA32" s="377"/>
      <c r="AB32" s="377"/>
      <c r="AC32" s="377"/>
      <c r="AD32" s="278"/>
    </row>
    <row r="33" spans="1:30" x14ac:dyDescent="0.3">
      <c r="A33" s="371"/>
      <c r="B33" s="1061"/>
      <c r="C33" s="1117" t="str">
        <f t="shared" si="10"/>
        <v>Diskontní sazba</v>
      </c>
      <c r="D33" s="1619"/>
      <c r="E33" s="1620"/>
      <c r="F33" s="1621">
        <f>T16*1/(1+$D$16)</f>
        <v>0.64186194739671742</v>
      </c>
      <c r="G33" s="1622">
        <f>F33*1/(1+$D$16)</f>
        <v>0.62316693922011401</v>
      </c>
      <c r="H33" s="1622">
        <f t="shared" ref="H33:T33" si="14">G33*1/(1+$D$16)</f>
        <v>0.60501644584477088</v>
      </c>
      <c r="I33" s="1622">
        <f t="shared" si="14"/>
        <v>0.58739460761628237</v>
      </c>
      <c r="J33" s="1622">
        <f t="shared" si="14"/>
        <v>0.57028602681192464</v>
      </c>
      <c r="K33" s="1622">
        <f t="shared" si="14"/>
        <v>0.55367575418633463</v>
      </c>
      <c r="L33" s="1622">
        <f t="shared" si="14"/>
        <v>0.53754927590906276</v>
      </c>
      <c r="M33" s="1622">
        <f t="shared" si="14"/>
        <v>0.52189250088258521</v>
      </c>
      <c r="N33" s="1622">
        <f t="shared" si="14"/>
        <v>0.50669174842969433</v>
      </c>
      <c r="O33" s="1622">
        <f t="shared" si="14"/>
        <v>0.49193373633950904</v>
      </c>
      <c r="P33" s="1622">
        <f t="shared" si="14"/>
        <v>0.47760556926165926</v>
      </c>
      <c r="Q33" s="1622">
        <f t="shared" si="14"/>
        <v>0.4636947274385041</v>
      </c>
      <c r="R33" s="1622">
        <f t="shared" si="14"/>
        <v>0.45018905576553797</v>
      </c>
      <c r="S33" s="1622">
        <f t="shared" si="14"/>
        <v>0.43707675317042521</v>
      </c>
      <c r="T33" s="1623">
        <f t="shared" si="14"/>
        <v>0.42434636230138367</v>
      </c>
      <c r="U33" s="378"/>
      <c r="V33" s="378"/>
      <c r="W33" s="378"/>
      <c r="X33" s="378"/>
      <c r="Y33" s="378"/>
      <c r="Z33" s="378"/>
      <c r="AA33" s="378"/>
      <c r="AB33" s="378"/>
      <c r="AC33" s="378"/>
      <c r="AD33" s="378"/>
    </row>
    <row r="34" spans="1:30" ht="15" thickBot="1" x14ac:dyDescent="0.35">
      <c r="B34" s="1624"/>
      <c r="C34" s="1124" t="str">
        <f t="shared" si="10"/>
        <v>Diskontní cash flow</v>
      </c>
      <c r="D34" s="1625"/>
      <c r="E34" s="1626"/>
      <c r="F34" s="1601">
        <f t="shared" ref="F34:T34" si="15">F32*F33</f>
        <v>0</v>
      </c>
      <c r="G34" s="1602">
        <f t="shared" si="15"/>
        <v>0</v>
      </c>
      <c r="H34" s="1602">
        <f t="shared" si="15"/>
        <v>0</v>
      </c>
      <c r="I34" s="1602">
        <f t="shared" si="15"/>
        <v>0</v>
      </c>
      <c r="J34" s="1602">
        <f t="shared" si="15"/>
        <v>0</v>
      </c>
      <c r="K34" s="1602">
        <f t="shared" si="15"/>
        <v>0</v>
      </c>
      <c r="L34" s="1602">
        <f t="shared" si="15"/>
        <v>0</v>
      </c>
      <c r="M34" s="1602">
        <f t="shared" si="15"/>
        <v>0</v>
      </c>
      <c r="N34" s="1602">
        <f t="shared" si="15"/>
        <v>0</v>
      </c>
      <c r="O34" s="1602">
        <f t="shared" si="15"/>
        <v>0</v>
      </c>
      <c r="P34" s="1602">
        <f t="shared" si="15"/>
        <v>0</v>
      </c>
      <c r="Q34" s="1602">
        <f t="shared" si="15"/>
        <v>0</v>
      </c>
      <c r="R34" s="1602">
        <f t="shared" si="15"/>
        <v>0</v>
      </c>
      <c r="S34" s="1602">
        <f t="shared" si="15"/>
        <v>0</v>
      </c>
      <c r="T34" s="1603">
        <f t="shared" si="15"/>
        <v>0</v>
      </c>
      <c r="U34" s="278"/>
      <c r="V34" s="278"/>
      <c r="W34" s="278"/>
      <c r="X34" s="278"/>
      <c r="Y34" s="278"/>
      <c r="Z34" s="278"/>
      <c r="AA34" s="278"/>
      <c r="AB34" s="278"/>
      <c r="AC34" s="278"/>
      <c r="AD34" s="278"/>
    </row>
    <row r="35" spans="1:30" ht="13.9" customHeight="1" thickBot="1" x14ac:dyDescent="0.35">
      <c r="B35" s="1386"/>
      <c r="C35" s="1386"/>
      <c r="D35" s="1386"/>
      <c r="E35" s="1386"/>
      <c r="F35" s="1098">
        <f>IF(F19&gt;='0 Úvod'!$D$20,F21+F22,0)</f>
        <v>0</v>
      </c>
      <c r="G35" s="1098">
        <f>IF(G19&gt;='0 Úvod'!$D$20,G21+G22,0)</f>
        <v>0</v>
      </c>
      <c r="H35" s="1098">
        <f>IF(H19&gt;='0 Úvod'!$D$20,H21+H22,0)</f>
        <v>0</v>
      </c>
      <c r="I35" s="1098">
        <f>IF(I19&gt;='0 Úvod'!$D$20,I21+I22,0)</f>
        <v>0</v>
      </c>
      <c r="J35" s="1098">
        <f>IF(J19&gt;='0 Úvod'!$D$20,J21+J22,0)</f>
        <v>0</v>
      </c>
      <c r="K35" s="1098">
        <f>IF(K19&gt;='0 Úvod'!$D$20,K21+K22,0)</f>
        <v>0</v>
      </c>
      <c r="L35" s="1098">
        <f>IF(L19&gt;='0 Úvod'!$D$20,L21+L22,0)</f>
        <v>0</v>
      </c>
      <c r="M35" s="1098">
        <f>IF(M19&gt;='0 Úvod'!$D$20,M21+M22,0)</f>
        <v>0</v>
      </c>
      <c r="N35" s="1098">
        <f>IF(N19&gt;='0 Úvod'!$D$20,N21+N22,0)</f>
        <v>0</v>
      </c>
      <c r="O35" s="1098">
        <f>IF(O19&gt;='0 Úvod'!$D$20,O21+O22,0)</f>
        <v>0</v>
      </c>
      <c r="P35" s="1098">
        <f>IF(P19&gt;='0 Úvod'!$D$20,P21+P22,0)</f>
        <v>0</v>
      </c>
      <c r="Q35" s="1098">
        <f>IF(Q19&gt;='0 Úvod'!$D$20,Q21+Q22,0)</f>
        <v>0</v>
      </c>
      <c r="R35" s="1098">
        <f>IF(R19&gt;='0 Úvod'!$D$20,R21+R22,0)</f>
        <v>0</v>
      </c>
      <c r="S35" s="1098">
        <f>IF(S19&gt;='0 Úvod'!$D$20,S21+S22,0)</f>
        <v>0</v>
      </c>
      <c r="T35" s="1098">
        <f>IF(T19&gt;='0 Úvod'!$D$20,T21+T22,0)</f>
        <v>0</v>
      </c>
    </row>
    <row r="36" spans="1:30" s="372" customFormat="1" ht="13.5" x14ac:dyDescent="0.25">
      <c r="B36" s="1627" t="str">
        <f>IF('0 Úvod'!$M$10="English",Slovnik!D608,Slovnik!C608)</f>
        <v>Ekonomické vnitřní výnosové procento ERR</v>
      </c>
      <c r="C36" s="1628"/>
      <c r="D36" s="1628"/>
      <c r="E36" s="1628"/>
      <c r="F36" s="1629" t="str">
        <f>IFERROR(ROUND(IRR((F15:T15,F32:T32)),4),"n.a.")</f>
        <v>n.a.</v>
      </c>
      <c r="G36" s="1630"/>
      <c r="H36" s="1631"/>
      <c r="I36" s="1630"/>
      <c r="J36" s="1632"/>
      <c r="K36" s="1632"/>
      <c r="L36" s="1632"/>
      <c r="M36" s="1632"/>
      <c r="N36" s="1632"/>
      <c r="O36" s="1633"/>
      <c r="P36" s="1630"/>
      <c r="Q36" s="1630"/>
      <c r="R36" s="1630"/>
      <c r="S36" s="1630"/>
      <c r="T36" s="1630"/>
    </row>
    <row r="37" spans="1:30" s="372" customFormat="1" thickBot="1" x14ac:dyDescent="0.3">
      <c r="B37" s="1634" t="str">
        <f>IF('0 Úvod'!$M$10="English",Slovnik!D609,Slovnik!C609)</f>
        <v>Ekonomická čistá současná hodnota ENPV (CZK)</v>
      </c>
      <c r="C37" s="1635"/>
      <c r="D37" s="1569"/>
      <c r="E37" s="1569"/>
      <c r="F37" s="1636">
        <f>SUM(F17:T17,F34:T34)</f>
        <v>0</v>
      </c>
      <c r="G37" s="1630"/>
      <c r="H37" s="1637"/>
      <c r="I37" s="1638"/>
      <c r="J37" s="1637"/>
      <c r="K37" s="1637"/>
      <c r="L37" s="1637"/>
      <c r="M37" s="1637"/>
      <c r="N37" s="1637"/>
      <c r="O37" s="1639"/>
      <c r="P37" s="1630"/>
      <c r="Q37" s="1630"/>
      <c r="R37" s="1630"/>
      <c r="S37" s="1630"/>
      <c r="T37" s="1630"/>
    </row>
    <row r="38" spans="1:30" ht="15" thickBot="1" x14ac:dyDescent="0.35">
      <c r="B38" s="1634" t="str">
        <f>IF('0 Úvod'!$M$10="English",Slovnik!D610,Slovnik!C610)</f>
        <v>Rentabilita nákladů</v>
      </c>
      <c r="C38" s="1635"/>
      <c r="D38" s="1569"/>
      <c r="E38" s="1569"/>
      <c r="F38" s="1640" t="str">
        <f>IFERROR((SUMPRODUCT(F11:T11,F16:T16)+SUMPRODUCT(F28:T28,F33:T33)-SUMPRODUCT(F30:T30,F33:T33))/((SUMPRODUCT(F12:T12,F16:T16)+SUMPRODUCT(F29:T29,F33:T33))),"n.a.")</f>
        <v>n.a.</v>
      </c>
      <c r="G38" s="1386"/>
      <c r="H38" s="1386"/>
      <c r="I38" s="1386"/>
      <c r="J38" s="1386"/>
      <c r="K38" s="1641"/>
      <c r="L38" s="1386"/>
      <c r="M38" s="1386"/>
      <c r="N38" s="1386"/>
      <c r="O38" s="1386"/>
      <c r="P38" s="1386"/>
      <c r="Q38" s="1386"/>
      <c r="R38" s="1386"/>
      <c r="S38" s="1386"/>
      <c r="T38" s="1386"/>
    </row>
    <row r="39" spans="1:30" x14ac:dyDescent="0.3">
      <c r="B39" s="379"/>
      <c r="C39" s="379"/>
      <c r="D39" s="379"/>
      <c r="E39" s="379"/>
      <c r="K39" s="380"/>
    </row>
    <row r="40" spans="1:30" ht="15" thickBot="1" x14ac:dyDescent="0.35"/>
    <row r="41" spans="1:30" x14ac:dyDescent="0.3">
      <c r="B41" s="1984" t="str">
        <f>IF('0 Úvod'!$M$10="English",Slovnik!$D$613,Slovnik!$C$613)</f>
        <v>Komentáře</v>
      </c>
      <c r="C41" s="1985"/>
      <c r="D41" s="1985"/>
      <c r="E41" s="1985"/>
      <c r="F41" s="1985"/>
      <c r="G41" s="1985"/>
      <c r="H41" s="1985"/>
      <c r="I41" s="1985"/>
      <c r="J41" s="1985"/>
      <c r="K41" s="1985"/>
      <c r="L41" s="1985"/>
      <c r="M41" s="1985"/>
      <c r="N41" s="1985"/>
      <c r="O41" s="1985"/>
      <c r="P41" s="1985"/>
      <c r="Q41" s="1985"/>
      <c r="R41" s="1985"/>
      <c r="S41" s="1985"/>
      <c r="T41" s="2237"/>
    </row>
    <row r="42" spans="1:30" ht="15" thickBot="1" x14ac:dyDescent="0.35">
      <c r="B42" s="1986"/>
      <c r="C42" s="1987"/>
      <c r="D42" s="1987"/>
      <c r="E42" s="1987"/>
      <c r="F42" s="1987"/>
      <c r="G42" s="1987"/>
      <c r="H42" s="1987"/>
      <c r="I42" s="1987"/>
      <c r="J42" s="1987"/>
      <c r="K42" s="1987"/>
      <c r="L42" s="1987"/>
      <c r="M42" s="1987"/>
      <c r="N42" s="1987"/>
      <c r="O42" s="1987"/>
      <c r="P42" s="1987"/>
      <c r="Q42" s="1987"/>
      <c r="R42" s="1987"/>
      <c r="S42" s="1987"/>
      <c r="T42" s="2238"/>
    </row>
    <row r="43" spans="1:30" x14ac:dyDescent="0.3">
      <c r="B43" s="388"/>
      <c r="C43" s="385"/>
      <c r="D43" s="386"/>
      <c r="E43" s="386"/>
      <c r="F43" s="386"/>
      <c r="G43" s="387"/>
      <c r="H43" s="386"/>
      <c r="I43" s="386"/>
      <c r="J43" s="386"/>
      <c r="K43" s="386"/>
      <c r="L43" s="386"/>
      <c r="M43" s="386"/>
      <c r="N43" s="386"/>
      <c r="O43" s="386"/>
      <c r="P43" s="386"/>
      <c r="Q43" s="381"/>
      <c r="R43" s="381"/>
      <c r="S43" s="381"/>
      <c r="T43" s="382"/>
    </row>
    <row r="44" spans="1:30" ht="15" thickBot="1" x14ac:dyDescent="0.35">
      <c r="B44" s="401"/>
      <c r="C44" s="383"/>
      <c r="D44" s="383"/>
      <c r="E44" s="383"/>
      <c r="F44" s="383"/>
      <c r="G44" s="383"/>
      <c r="H44" s="383"/>
      <c r="I44" s="383"/>
      <c r="J44" s="383"/>
      <c r="K44" s="383"/>
      <c r="L44" s="383"/>
      <c r="M44" s="383"/>
      <c r="N44" s="383"/>
      <c r="O44" s="383"/>
      <c r="P44" s="383"/>
      <c r="Q44" s="383"/>
      <c r="R44" s="383"/>
      <c r="S44" s="383"/>
      <c r="T44" s="384"/>
    </row>
  </sheetData>
  <sheetProtection algorithmName="SHA-512" hashValue="tUL80ehcKVgKEeJkbllE3pNUqXVm/9IJdcNoSmfwWOmy+je4OwqxC6JewOgt9HQUK4LaDfY5CEZeOnulXPBfXg==" saltValue="+ZFgB3SILCofvN4VRj5ZZQ==" spinCount="100000" sheet="1" objects="1" scenarios="1"/>
  <mergeCells count="32">
    <mergeCell ref="J2:J3"/>
    <mergeCell ref="E2:E3"/>
    <mergeCell ref="F2:F3"/>
    <mergeCell ref="G2:G3"/>
    <mergeCell ref="H2:H3"/>
    <mergeCell ref="I2:I3"/>
    <mergeCell ref="B41:T42"/>
    <mergeCell ref="Q2:Q3"/>
    <mergeCell ref="R2:R3"/>
    <mergeCell ref="S2:S3"/>
    <mergeCell ref="T2:T3"/>
    <mergeCell ref="F19:F20"/>
    <mergeCell ref="G19:G20"/>
    <mergeCell ref="H19:H20"/>
    <mergeCell ref="I19:I20"/>
    <mergeCell ref="J19:J20"/>
    <mergeCell ref="K2:K3"/>
    <mergeCell ref="L2:L3"/>
    <mergeCell ref="M2:M3"/>
    <mergeCell ref="N2:N3"/>
    <mergeCell ref="O2:O3"/>
    <mergeCell ref="P2:P3"/>
    <mergeCell ref="Q19:Q20"/>
    <mergeCell ref="R19:R20"/>
    <mergeCell ref="S19:S20"/>
    <mergeCell ref="T19:T20"/>
    <mergeCell ref="K19:K20"/>
    <mergeCell ref="L19:L20"/>
    <mergeCell ref="M19:M20"/>
    <mergeCell ref="N19:N20"/>
    <mergeCell ref="O19:O20"/>
    <mergeCell ref="P19:P20"/>
  </mergeCells>
  <conditionalFormatting sqref="H36">
    <cfRule type="cellIs" dxfId="1" priority="1" stopIfTrue="1" operator="equal">
      <formula>"OK"</formula>
    </cfRule>
    <cfRule type="cellIs" dxfId="0" priority="2" stopIfTrue="1" operator="equal">
      <formula>"ERROR!"</formula>
    </cfRule>
  </conditionalFormatting>
  <pageMargins left="0.19685039370078741" right="0.15748031496062992" top="0.78740157480314965" bottom="0.78740157480314965" header="0.39370078740157483" footer="0.39370078740157483"/>
  <pageSetup paperSize="9" scale="56" fitToHeight="0" orientation="landscape" r:id="rId1"/>
  <headerFooter alignWithMargins="0">
    <oddFooter>&amp;L&amp;A&amp;C&amp;D</oddFooter>
  </headerFooter>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List5"/>
  <dimension ref="B2:R2569"/>
  <sheetViews>
    <sheetView zoomScaleNormal="100" zoomScaleSheetLayoutView="80" workbookViewId="0">
      <pane ySplit="2" topLeftCell="A87" activePane="bottomLeft" state="frozen"/>
      <selection pane="bottomLeft" activeCell="E114" sqref="E114"/>
    </sheetView>
  </sheetViews>
  <sheetFormatPr defaultColWidth="9.140625" defaultRowHeight="12.75" x14ac:dyDescent="0.2"/>
  <cols>
    <col min="1" max="1" width="6" style="394" customWidth="1"/>
    <col min="2" max="2" width="9.140625" style="396"/>
    <col min="3" max="3" width="59.5703125" style="395" customWidth="1"/>
    <col min="4" max="4" width="47.42578125" style="394" customWidth="1"/>
    <col min="5" max="5" width="6.28515625" style="394" customWidth="1"/>
    <col min="6" max="6" width="4.85546875" style="394" customWidth="1"/>
    <col min="7" max="7" width="3.140625" style="394" customWidth="1"/>
    <col min="8" max="8" width="34.42578125" style="394" customWidth="1"/>
    <col min="9" max="16384" width="9.140625" style="394"/>
  </cols>
  <sheetData>
    <row r="2" spans="2:6" x14ac:dyDescent="0.2">
      <c r="B2" s="396" t="s">
        <v>61</v>
      </c>
      <c r="C2" s="396" t="s">
        <v>0</v>
      </c>
      <c r="D2" s="396" t="s">
        <v>62</v>
      </c>
      <c r="E2" s="400" t="s">
        <v>63</v>
      </c>
      <c r="F2" s="427" t="s">
        <v>64</v>
      </c>
    </row>
    <row r="3" spans="2:6" x14ac:dyDescent="0.2">
      <c r="B3" s="396">
        <v>3</v>
      </c>
      <c r="C3" s="395" t="str">
        <f>"Verze "&amp;F2</f>
        <v>Verze 1.10</v>
      </c>
      <c r="D3" s="394" t="str">
        <f>"Version "&amp;F2</f>
        <v>Version 1.10</v>
      </c>
    </row>
    <row r="4" spans="2:6" x14ac:dyDescent="0.2">
      <c r="B4" s="396">
        <v>4</v>
      </c>
      <c r="C4" s="395" t="s">
        <v>65</v>
      </c>
      <c r="D4" s="394" t="s">
        <v>66</v>
      </c>
    </row>
    <row r="5" spans="2:6" ht="409.5" x14ac:dyDescent="0.2">
      <c r="B5" s="396">
        <v>5</v>
      </c>
      <c r="C5" s="395" t="s">
        <v>67</v>
      </c>
      <c r="D5" s="394" t="s">
        <v>68</v>
      </c>
      <c r="E5" s="550" t="s">
        <v>1367</v>
      </c>
    </row>
    <row r="6" spans="2:6" ht="409.5" x14ac:dyDescent="0.2">
      <c r="B6" s="396">
        <v>6</v>
      </c>
      <c r="C6" s="395" t="s">
        <v>69</v>
      </c>
      <c r="D6" s="394" t="s">
        <v>70</v>
      </c>
      <c r="E6" s="550" t="s">
        <v>71</v>
      </c>
    </row>
    <row r="7" spans="2:6" x14ac:dyDescent="0.2">
      <c r="B7" s="396">
        <v>7</v>
      </c>
      <c r="C7" s="395" t="s">
        <v>72</v>
      </c>
      <c r="D7" s="394" t="s">
        <v>73</v>
      </c>
    </row>
    <row r="8" spans="2:6" hidden="1" x14ac:dyDescent="0.2">
      <c r="B8" s="396">
        <v>8</v>
      </c>
      <c r="C8" s="395" t="s">
        <v>74</v>
      </c>
      <c r="D8" s="394" t="s">
        <v>75</v>
      </c>
    </row>
    <row r="9" spans="2:6" x14ac:dyDescent="0.2">
      <c r="B9" s="396">
        <v>9</v>
      </c>
      <c r="C9" s="395" t="s">
        <v>76</v>
      </c>
      <c r="D9" s="394" t="s">
        <v>77</v>
      </c>
    </row>
    <row r="10" spans="2:6" x14ac:dyDescent="0.2">
      <c r="B10" s="396">
        <v>10</v>
      </c>
      <c r="C10" s="395" t="s">
        <v>78</v>
      </c>
      <c r="D10" s="394" t="s">
        <v>79</v>
      </c>
    </row>
    <row r="11" spans="2:6" x14ac:dyDescent="0.2">
      <c r="B11" s="396">
        <v>11</v>
      </c>
      <c r="C11" s="395" t="s">
        <v>80</v>
      </c>
      <c r="D11" s="394" t="s">
        <v>81</v>
      </c>
    </row>
    <row r="12" spans="2:6" x14ac:dyDescent="0.2">
      <c r="B12" s="396">
        <v>12</v>
      </c>
      <c r="C12" s="395" t="s">
        <v>82</v>
      </c>
      <c r="D12" s="394" t="s">
        <v>83</v>
      </c>
    </row>
    <row r="13" spans="2:6" x14ac:dyDescent="0.2">
      <c r="B13" s="396">
        <v>13</v>
      </c>
      <c r="C13" s="395" t="s">
        <v>84</v>
      </c>
      <c r="D13" s="394" t="s">
        <v>85</v>
      </c>
    </row>
    <row r="14" spans="2:6" x14ac:dyDescent="0.2">
      <c r="B14" s="396">
        <v>14</v>
      </c>
      <c r="C14" s="395" t="s">
        <v>86</v>
      </c>
      <c r="D14" s="394" t="s">
        <v>87</v>
      </c>
    </row>
    <row r="15" spans="2:6" x14ac:dyDescent="0.2">
      <c r="B15" s="396">
        <v>15</v>
      </c>
      <c r="C15" s="395" t="s">
        <v>88</v>
      </c>
      <c r="D15" s="394" t="s">
        <v>89</v>
      </c>
    </row>
    <row r="16" spans="2:6" x14ac:dyDescent="0.2">
      <c r="B16" s="396">
        <v>16</v>
      </c>
      <c r="C16" s="395" t="s">
        <v>90</v>
      </c>
      <c r="D16" s="394" t="s">
        <v>91</v>
      </c>
    </row>
    <row r="17" spans="2:5" x14ac:dyDescent="0.2">
      <c r="B17" s="396">
        <v>17</v>
      </c>
      <c r="C17" s="395" t="s">
        <v>92</v>
      </c>
      <c r="D17" s="394" t="s">
        <v>93</v>
      </c>
    </row>
    <row r="18" spans="2:5" x14ac:dyDescent="0.2">
      <c r="B18" s="396">
        <v>18</v>
      </c>
      <c r="C18" s="395" t="s">
        <v>94</v>
      </c>
      <c r="D18" s="394" t="s">
        <v>95</v>
      </c>
    </row>
    <row r="19" spans="2:5" x14ac:dyDescent="0.2">
      <c r="B19" s="396">
        <v>19</v>
      </c>
      <c r="C19" s="395" t="s">
        <v>96</v>
      </c>
      <c r="D19" s="394" t="s">
        <v>97</v>
      </c>
    </row>
    <row r="20" spans="2:5" x14ac:dyDescent="0.2">
      <c r="B20" s="396">
        <v>20</v>
      </c>
      <c r="C20" s="395" t="s">
        <v>98</v>
      </c>
      <c r="D20" s="394" t="s">
        <v>99</v>
      </c>
    </row>
    <row r="21" spans="2:5" x14ac:dyDescent="0.2">
      <c r="B21" s="396">
        <v>21</v>
      </c>
      <c r="C21" s="395" t="s">
        <v>100</v>
      </c>
      <c r="D21" s="394" t="s">
        <v>101</v>
      </c>
    </row>
    <row r="22" spans="2:5" x14ac:dyDescent="0.2">
      <c r="B22" s="396">
        <v>22</v>
      </c>
      <c r="C22" s="395" t="s">
        <v>102</v>
      </c>
      <c r="D22" s="394" t="s">
        <v>103</v>
      </c>
    </row>
    <row r="23" spans="2:5" x14ac:dyDescent="0.2">
      <c r="B23" s="396">
        <v>23</v>
      </c>
      <c r="C23" s="395" t="s">
        <v>104</v>
      </c>
      <c r="D23" s="394" t="s">
        <v>105</v>
      </c>
    </row>
    <row r="24" spans="2:5" x14ac:dyDescent="0.2">
      <c r="B24" s="396">
        <v>24</v>
      </c>
      <c r="C24" s="395" t="s">
        <v>106</v>
      </c>
      <c r="D24" s="394" t="s">
        <v>107</v>
      </c>
      <c r="E24" s="394" t="s">
        <v>108</v>
      </c>
    </row>
    <row r="25" spans="2:5" x14ac:dyDescent="0.2">
      <c r="B25" s="396">
        <v>25</v>
      </c>
      <c r="C25" s="395" t="s">
        <v>109</v>
      </c>
      <c r="D25" s="394" t="s">
        <v>110</v>
      </c>
      <c r="E25" s="394" t="s">
        <v>111</v>
      </c>
    </row>
    <row r="26" spans="2:5" x14ac:dyDescent="0.2">
      <c r="B26" s="396">
        <v>26</v>
      </c>
      <c r="C26" s="395" t="s">
        <v>112</v>
      </c>
      <c r="D26" s="394" t="s">
        <v>113</v>
      </c>
    </row>
    <row r="27" spans="2:5" x14ac:dyDescent="0.2">
      <c r="B27" s="396">
        <v>27</v>
      </c>
      <c r="C27" s="395" t="s">
        <v>114</v>
      </c>
      <c r="D27" s="394" t="s">
        <v>115</v>
      </c>
    </row>
    <row r="28" spans="2:5" x14ac:dyDescent="0.2">
      <c r="B28" s="396">
        <v>28</v>
      </c>
      <c r="C28" s="395" t="s">
        <v>116</v>
      </c>
      <c r="D28" s="394" t="s">
        <v>117</v>
      </c>
      <c r="E28" s="394" t="s">
        <v>118</v>
      </c>
    </row>
    <row r="29" spans="2:5" x14ac:dyDescent="0.2">
      <c r="B29" s="396">
        <v>29</v>
      </c>
      <c r="C29" s="395" t="s">
        <v>119</v>
      </c>
      <c r="D29" s="397" t="s">
        <v>120</v>
      </c>
      <c r="E29" s="394" t="s">
        <v>121</v>
      </c>
    </row>
    <row r="30" spans="2:5" x14ac:dyDescent="0.2">
      <c r="B30" s="396">
        <v>30</v>
      </c>
      <c r="C30" s="395" t="s">
        <v>122</v>
      </c>
      <c r="D30" s="394" t="s">
        <v>123</v>
      </c>
    </row>
    <row r="31" spans="2:5" x14ac:dyDescent="0.2">
      <c r="B31" s="396">
        <v>31</v>
      </c>
      <c r="C31" s="398" t="s">
        <v>124</v>
      </c>
      <c r="D31" s="394" t="s">
        <v>125</v>
      </c>
      <c r="E31" s="394" t="s">
        <v>126</v>
      </c>
    </row>
    <row r="32" spans="2:5" x14ac:dyDescent="0.2">
      <c r="B32" s="396">
        <v>32</v>
      </c>
      <c r="C32" s="395" t="s">
        <v>154</v>
      </c>
      <c r="D32" s="394" t="s">
        <v>127</v>
      </c>
      <c r="E32" s="394" t="s">
        <v>128</v>
      </c>
    </row>
    <row r="33" spans="2:4" x14ac:dyDescent="0.2">
      <c r="B33" s="396">
        <v>33</v>
      </c>
      <c r="C33" s="395" t="s">
        <v>129</v>
      </c>
      <c r="D33" s="394" t="s">
        <v>130</v>
      </c>
    </row>
    <row r="34" spans="2:4" x14ac:dyDescent="0.2">
      <c r="B34" s="396">
        <v>34</v>
      </c>
      <c r="C34" s="395" t="s">
        <v>131</v>
      </c>
      <c r="D34" s="394" t="s">
        <v>132</v>
      </c>
    </row>
    <row r="35" spans="2:4" x14ac:dyDescent="0.2">
      <c r="B35" s="396">
        <v>35</v>
      </c>
      <c r="C35" s="395" t="s">
        <v>133</v>
      </c>
      <c r="D35" s="394" t="s">
        <v>134</v>
      </c>
    </row>
    <row r="36" spans="2:4" x14ac:dyDescent="0.2">
      <c r="B36" s="396">
        <v>36</v>
      </c>
      <c r="C36" s="395" t="s">
        <v>135</v>
      </c>
      <c r="D36" s="394" t="s">
        <v>136</v>
      </c>
    </row>
    <row r="37" spans="2:4" x14ac:dyDescent="0.2">
      <c r="B37" s="396">
        <v>37</v>
      </c>
      <c r="C37" s="395" t="s">
        <v>137</v>
      </c>
      <c r="D37" s="394" t="s">
        <v>138</v>
      </c>
    </row>
    <row r="38" spans="2:4" x14ac:dyDescent="0.2">
      <c r="B38" s="396">
        <v>38</v>
      </c>
      <c r="C38" s="395" t="s">
        <v>139</v>
      </c>
      <c r="D38" s="394" t="s">
        <v>140</v>
      </c>
    </row>
    <row r="39" spans="2:4" x14ac:dyDescent="0.2">
      <c r="B39" s="396">
        <v>39</v>
      </c>
      <c r="C39" s="395" t="s">
        <v>141</v>
      </c>
      <c r="D39" s="394" t="s">
        <v>142</v>
      </c>
    </row>
    <row r="40" spans="2:4" x14ac:dyDescent="0.2">
      <c r="B40" s="396">
        <v>40</v>
      </c>
      <c r="C40" s="395" t="s">
        <v>143</v>
      </c>
      <c r="D40" s="394" t="s">
        <v>144</v>
      </c>
    </row>
    <row r="41" spans="2:4" x14ac:dyDescent="0.2">
      <c r="B41" s="396">
        <v>41</v>
      </c>
      <c r="C41" s="395" t="s">
        <v>1369</v>
      </c>
      <c r="D41" s="394" t="s">
        <v>145</v>
      </c>
    </row>
    <row r="42" spans="2:4" x14ac:dyDescent="0.2">
      <c r="B42" s="396">
        <v>42</v>
      </c>
      <c r="C42" s="395" t="s">
        <v>146</v>
      </c>
      <c r="D42" s="394" t="s">
        <v>147</v>
      </c>
    </row>
    <row r="43" spans="2:4" x14ac:dyDescent="0.2">
      <c r="B43" s="396">
        <v>43</v>
      </c>
      <c r="C43" s="395" t="s">
        <v>1370</v>
      </c>
      <c r="D43" s="397" t="s">
        <v>148</v>
      </c>
    </row>
    <row r="44" spans="2:4" x14ac:dyDescent="0.2">
      <c r="B44" s="396">
        <v>44</v>
      </c>
      <c r="C44" s="395" t="s">
        <v>92</v>
      </c>
      <c r="D44" s="394" t="s">
        <v>93</v>
      </c>
    </row>
    <row r="45" spans="2:4" x14ac:dyDescent="0.2">
      <c r="B45" s="396">
        <v>45</v>
      </c>
      <c r="C45" s="395" t="s">
        <v>1371</v>
      </c>
      <c r="D45" s="394" t="s">
        <v>149</v>
      </c>
    </row>
    <row r="46" spans="2:4" x14ac:dyDescent="0.2">
      <c r="B46" s="396">
        <v>46</v>
      </c>
      <c r="C46" s="395" t="s">
        <v>150</v>
      </c>
      <c r="D46" s="394" t="s">
        <v>151</v>
      </c>
    </row>
    <row r="47" spans="2:4" x14ac:dyDescent="0.2">
      <c r="B47" s="396">
        <v>47</v>
      </c>
      <c r="C47" s="395" t="s">
        <v>152</v>
      </c>
      <c r="D47" s="394" t="s">
        <v>153</v>
      </c>
    </row>
    <row r="48" spans="2:4" x14ac:dyDescent="0.2">
      <c r="B48" s="396">
        <v>48</v>
      </c>
      <c r="C48" s="395" t="s">
        <v>154</v>
      </c>
      <c r="D48" s="394" t="s">
        <v>155</v>
      </c>
    </row>
    <row r="49" spans="2:5" x14ac:dyDescent="0.2">
      <c r="B49" s="396">
        <v>49</v>
      </c>
      <c r="C49" s="395" t="s">
        <v>156</v>
      </c>
      <c r="D49" s="394" t="s">
        <v>157</v>
      </c>
    </row>
    <row r="50" spans="2:5" x14ac:dyDescent="0.2">
      <c r="B50" s="396">
        <v>50</v>
      </c>
      <c r="C50" s="395" t="s">
        <v>158</v>
      </c>
      <c r="D50" s="394" t="s">
        <v>159</v>
      </c>
    </row>
    <row r="51" spans="2:5" x14ac:dyDescent="0.2">
      <c r="B51" s="396">
        <v>51</v>
      </c>
      <c r="C51" s="395" t="s">
        <v>160</v>
      </c>
      <c r="D51" s="394" t="s">
        <v>161</v>
      </c>
    </row>
    <row r="52" spans="2:5" x14ac:dyDescent="0.2">
      <c r="B52" s="396">
        <v>52</v>
      </c>
      <c r="C52" s="395" t="s">
        <v>162</v>
      </c>
      <c r="D52" s="394" t="s">
        <v>163</v>
      </c>
    </row>
    <row r="53" spans="2:5" x14ac:dyDescent="0.2">
      <c r="B53" s="396">
        <v>53</v>
      </c>
      <c r="C53" s="395" t="s">
        <v>164</v>
      </c>
      <c r="D53" s="394" t="s">
        <v>165</v>
      </c>
    </row>
    <row r="54" spans="2:5" x14ac:dyDescent="0.2">
      <c r="B54" s="396">
        <v>54</v>
      </c>
      <c r="C54" s="395" t="s">
        <v>166</v>
      </c>
      <c r="D54" s="394" t="s">
        <v>167</v>
      </c>
    </row>
    <row r="55" spans="2:5" x14ac:dyDescent="0.2">
      <c r="B55" s="396">
        <v>55</v>
      </c>
      <c r="C55" s="395" t="s">
        <v>168</v>
      </c>
      <c r="D55" s="394" t="s">
        <v>169</v>
      </c>
    </row>
    <row r="56" spans="2:5" x14ac:dyDescent="0.2">
      <c r="B56" s="396">
        <v>56</v>
      </c>
      <c r="C56" s="395" t="s">
        <v>170</v>
      </c>
      <c r="D56" s="394" t="s">
        <v>171</v>
      </c>
    </row>
    <row r="57" spans="2:5" x14ac:dyDescent="0.2">
      <c r="B57" s="396">
        <v>57</v>
      </c>
      <c r="C57" s="395" t="s">
        <v>172</v>
      </c>
      <c r="D57" s="394" t="s">
        <v>173</v>
      </c>
    </row>
    <row r="58" spans="2:5" x14ac:dyDescent="0.2">
      <c r="B58" s="396">
        <v>58</v>
      </c>
      <c r="C58" s="395" t="s">
        <v>174</v>
      </c>
      <c r="D58" s="394" t="s">
        <v>175</v>
      </c>
    </row>
    <row r="59" spans="2:5" x14ac:dyDescent="0.2">
      <c r="B59" s="396">
        <v>59</v>
      </c>
      <c r="C59" s="395" t="s">
        <v>176</v>
      </c>
      <c r="D59" s="394" t="s">
        <v>177</v>
      </c>
    </row>
    <row r="60" spans="2:5" x14ac:dyDescent="0.2">
      <c r="B60" s="396">
        <v>60</v>
      </c>
      <c r="C60" s="395" t="s">
        <v>178</v>
      </c>
      <c r="D60" s="394" t="s">
        <v>179</v>
      </c>
    </row>
    <row r="61" spans="2:5" x14ac:dyDescent="0.2">
      <c r="B61" s="396">
        <v>61</v>
      </c>
      <c r="C61" s="395" t="s">
        <v>180</v>
      </c>
      <c r="D61" s="394" t="s">
        <v>181</v>
      </c>
    </row>
    <row r="62" spans="2:5" x14ac:dyDescent="0.2">
      <c r="B62" s="396">
        <v>62</v>
      </c>
      <c r="C62" s="395" t="s">
        <v>182</v>
      </c>
      <c r="D62" s="394" t="s">
        <v>183</v>
      </c>
    </row>
    <row r="63" spans="2:5" x14ac:dyDescent="0.2">
      <c r="B63" s="396">
        <v>63</v>
      </c>
      <c r="C63" s="395" t="s">
        <v>150</v>
      </c>
      <c r="D63" s="394" t="s">
        <v>151</v>
      </c>
      <c r="E63" s="394" t="s">
        <v>184</v>
      </c>
    </row>
    <row r="64" spans="2:5" x14ac:dyDescent="0.2">
      <c r="B64" s="396">
        <v>64</v>
      </c>
      <c r="C64" s="395" t="s">
        <v>185</v>
      </c>
      <c r="D64" s="394" t="s">
        <v>186</v>
      </c>
      <c r="E64" s="394" t="s">
        <v>187</v>
      </c>
    </row>
    <row r="65" spans="2:4" x14ac:dyDescent="0.2">
      <c r="B65" s="396">
        <v>65</v>
      </c>
      <c r="C65" s="395" t="s">
        <v>188</v>
      </c>
      <c r="D65" s="394" t="s">
        <v>189</v>
      </c>
    </row>
    <row r="66" spans="2:4" x14ac:dyDescent="0.2">
      <c r="B66" s="396">
        <v>66</v>
      </c>
      <c r="C66" s="398" t="s">
        <v>190</v>
      </c>
      <c r="D66" s="394" t="s">
        <v>191</v>
      </c>
    </row>
    <row r="67" spans="2:4" x14ac:dyDescent="0.2">
      <c r="B67" s="396">
        <v>67</v>
      </c>
      <c r="C67" s="395" t="s">
        <v>192</v>
      </c>
      <c r="D67" s="394" t="s">
        <v>193</v>
      </c>
    </row>
    <row r="68" spans="2:4" x14ac:dyDescent="0.2">
      <c r="B68" s="396">
        <v>68</v>
      </c>
      <c r="C68" s="395" t="s">
        <v>194</v>
      </c>
      <c r="D68" s="394" t="s">
        <v>195</v>
      </c>
    </row>
    <row r="69" spans="2:4" x14ac:dyDescent="0.2">
      <c r="B69" s="396">
        <v>69</v>
      </c>
      <c r="C69" s="395" t="s">
        <v>196</v>
      </c>
      <c r="D69" s="394" t="s">
        <v>197</v>
      </c>
    </row>
    <row r="70" spans="2:4" x14ac:dyDescent="0.2">
      <c r="B70" s="396">
        <v>70</v>
      </c>
      <c r="C70" s="395" t="s">
        <v>198</v>
      </c>
      <c r="D70" s="394" t="s">
        <v>199</v>
      </c>
    </row>
    <row r="71" spans="2:4" x14ac:dyDescent="0.2">
      <c r="B71" s="396">
        <v>71</v>
      </c>
      <c r="C71" s="395" t="s">
        <v>200</v>
      </c>
      <c r="D71" s="394" t="s">
        <v>201</v>
      </c>
    </row>
    <row r="72" spans="2:4" x14ac:dyDescent="0.2">
      <c r="B72" s="396">
        <v>72</v>
      </c>
      <c r="C72" s="395" t="s">
        <v>202</v>
      </c>
      <c r="D72" s="394" t="s">
        <v>203</v>
      </c>
    </row>
    <row r="73" spans="2:4" x14ac:dyDescent="0.2">
      <c r="B73" s="396">
        <v>73</v>
      </c>
      <c r="C73" s="395" t="s">
        <v>204</v>
      </c>
      <c r="D73" s="394" t="s">
        <v>205</v>
      </c>
    </row>
    <row r="74" spans="2:4" x14ac:dyDescent="0.2">
      <c r="B74" s="396">
        <v>74</v>
      </c>
      <c r="C74" s="395" t="s">
        <v>206</v>
      </c>
      <c r="D74" s="394" t="s">
        <v>207</v>
      </c>
    </row>
    <row r="75" spans="2:4" x14ac:dyDescent="0.2">
      <c r="B75" s="396">
        <v>75</v>
      </c>
      <c r="C75" s="395" t="s">
        <v>208</v>
      </c>
      <c r="D75" s="394" t="s">
        <v>209</v>
      </c>
    </row>
    <row r="76" spans="2:4" x14ac:dyDescent="0.2">
      <c r="B76" s="396">
        <v>76</v>
      </c>
      <c r="C76" s="395" t="s">
        <v>210</v>
      </c>
      <c r="D76" s="394" t="s">
        <v>211</v>
      </c>
    </row>
    <row r="77" spans="2:4" x14ac:dyDescent="0.2">
      <c r="B77" s="396">
        <v>77</v>
      </c>
      <c r="C77" s="395" t="s">
        <v>212</v>
      </c>
      <c r="D77" s="394" t="s">
        <v>213</v>
      </c>
    </row>
    <row r="78" spans="2:4" x14ac:dyDescent="0.2">
      <c r="B78" s="396">
        <v>78</v>
      </c>
      <c r="C78" s="395" t="s">
        <v>214</v>
      </c>
      <c r="D78" s="394" t="s">
        <v>215</v>
      </c>
    </row>
    <row r="79" spans="2:4" x14ac:dyDescent="0.2">
      <c r="B79" s="396">
        <v>79</v>
      </c>
      <c r="C79" s="395" t="s">
        <v>216</v>
      </c>
      <c r="D79" s="394" t="s">
        <v>217</v>
      </c>
    </row>
    <row r="80" spans="2:4" x14ac:dyDescent="0.2">
      <c r="B80" s="396">
        <v>80</v>
      </c>
      <c r="C80" s="395" t="s">
        <v>218</v>
      </c>
      <c r="D80" s="394" t="s">
        <v>219</v>
      </c>
    </row>
    <row r="81" spans="2:4" x14ac:dyDescent="0.2">
      <c r="B81" s="396">
        <v>81</v>
      </c>
      <c r="C81" s="395" t="s">
        <v>220</v>
      </c>
      <c r="D81" s="394" t="s">
        <v>221</v>
      </c>
    </row>
    <row r="82" spans="2:4" x14ac:dyDescent="0.2">
      <c r="B82" s="396">
        <v>82</v>
      </c>
      <c r="C82" s="395" t="s">
        <v>222</v>
      </c>
      <c r="D82" s="394" t="s">
        <v>223</v>
      </c>
    </row>
    <row r="83" spans="2:4" x14ac:dyDescent="0.2">
      <c r="B83" s="396">
        <v>83</v>
      </c>
      <c r="C83" s="395" t="s">
        <v>224</v>
      </c>
      <c r="D83" s="394" t="s">
        <v>225</v>
      </c>
    </row>
    <row r="84" spans="2:4" x14ac:dyDescent="0.2">
      <c r="B84" s="396">
        <v>84</v>
      </c>
      <c r="C84" s="395" t="s">
        <v>226</v>
      </c>
      <c r="D84" s="394" t="s">
        <v>227</v>
      </c>
    </row>
    <row r="85" spans="2:4" x14ac:dyDescent="0.2">
      <c r="B85" s="396">
        <v>85</v>
      </c>
      <c r="C85" s="395" t="s">
        <v>228</v>
      </c>
      <c r="D85" s="394" t="s">
        <v>229</v>
      </c>
    </row>
    <row r="86" spans="2:4" x14ac:dyDescent="0.2">
      <c r="B86" s="396">
        <v>86</v>
      </c>
      <c r="C86" s="395" t="s">
        <v>230</v>
      </c>
      <c r="D86" s="394" t="s">
        <v>231</v>
      </c>
    </row>
    <row r="87" spans="2:4" x14ac:dyDescent="0.2">
      <c r="B87" s="396">
        <v>87</v>
      </c>
      <c r="C87" s="395" t="s">
        <v>232</v>
      </c>
      <c r="D87" s="394" t="s">
        <v>233</v>
      </c>
    </row>
    <row r="88" spans="2:4" x14ac:dyDescent="0.2">
      <c r="B88" s="396">
        <v>88</v>
      </c>
      <c r="C88" s="395" t="s">
        <v>234</v>
      </c>
      <c r="D88" s="394" t="s">
        <v>235</v>
      </c>
    </row>
    <row r="89" spans="2:4" x14ac:dyDescent="0.2">
      <c r="B89" s="396">
        <v>89</v>
      </c>
      <c r="C89" s="395" t="s">
        <v>236</v>
      </c>
      <c r="D89" s="394" t="s">
        <v>237</v>
      </c>
    </row>
    <row r="90" spans="2:4" x14ac:dyDescent="0.2">
      <c r="B90" s="396">
        <v>90</v>
      </c>
      <c r="C90" s="395" t="s">
        <v>238</v>
      </c>
      <c r="D90" s="394" t="s">
        <v>239</v>
      </c>
    </row>
    <row r="91" spans="2:4" x14ac:dyDescent="0.2">
      <c r="B91" s="396">
        <v>91</v>
      </c>
      <c r="C91" s="395" t="s">
        <v>240</v>
      </c>
      <c r="D91" s="394" t="s">
        <v>241</v>
      </c>
    </row>
    <row r="92" spans="2:4" x14ac:dyDescent="0.2">
      <c r="B92" s="396">
        <v>92</v>
      </c>
      <c r="C92" s="395" t="s">
        <v>214</v>
      </c>
      <c r="D92" s="394" t="s">
        <v>215</v>
      </c>
    </row>
    <row r="93" spans="2:4" x14ac:dyDescent="0.2">
      <c r="B93" s="396">
        <v>93</v>
      </c>
      <c r="C93" s="395" t="s">
        <v>242</v>
      </c>
      <c r="D93" s="394" t="s">
        <v>243</v>
      </c>
    </row>
    <row r="94" spans="2:4" x14ac:dyDescent="0.2">
      <c r="B94" s="396">
        <v>94</v>
      </c>
      <c r="C94" s="395" t="s">
        <v>244</v>
      </c>
      <c r="D94" s="394" t="s">
        <v>245</v>
      </c>
    </row>
    <row r="95" spans="2:4" x14ac:dyDescent="0.2">
      <c r="B95" s="396">
        <v>95</v>
      </c>
      <c r="C95" s="395" t="s">
        <v>246</v>
      </c>
      <c r="D95" s="394" t="s">
        <v>247</v>
      </c>
    </row>
    <row r="96" spans="2:4" x14ac:dyDescent="0.2">
      <c r="B96" s="396">
        <v>96</v>
      </c>
      <c r="C96" s="395" t="s">
        <v>248</v>
      </c>
      <c r="D96" s="394" t="s">
        <v>249</v>
      </c>
    </row>
    <row r="97" spans="2:5" x14ac:dyDescent="0.2">
      <c r="B97" s="396">
        <v>97</v>
      </c>
      <c r="C97" s="395" t="s">
        <v>250</v>
      </c>
      <c r="D97" s="394" t="s">
        <v>251</v>
      </c>
    </row>
    <row r="98" spans="2:5" x14ac:dyDescent="0.2">
      <c r="B98" s="396">
        <v>98</v>
      </c>
      <c r="C98" s="395" t="s">
        <v>216</v>
      </c>
      <c r="D98" s="394" t="s">
        <v>217</v>
      </c>
    </row>
    <row r="99" spans="2:5" x14ac:dyDescent="0.2">
      <c r="B99" s="396">
        <v>99</v>
      </c>
      <c r="C99" s="395" t="s">
        <v>252</v>
      </c>
      <c r="D99" s="394" t="s">
        <v>253</v>
      </c>
    </row>
    <row r="100" spans="2:5" x14ac:dyDescent="0.2">
      <c r="B100" s="396">
        <v>100</v>
      </c>
      <c r="C100" s="395" t="s">
        <v>254</v>
      </c>
      <c r="D100" s="394" t="s">
        <v>255</v>
      </c>
    </row>
    <row r="101" spans="2:5" x14ac:dyDescent="0.2">
      <c r="B101" s="396">
        <v>101</v>
      </c>
      <c r="C101" s="395" t="s">
        <v>256</v>
      </c>
      <c r="D101" s="394" t="s">
        <v>257</v>
      </c>
    </row>
    <row r="102" spans="2:5" x14ac:dyDescent="0.2">
      <c r="B102" s="396">
        <v>102</v>
      </c>
      <c r="C102" s="395" t="s">
        <v>258</v>
      </c>
      <c r="D102" s="394" t="s">
        <v>259</v>
      </c>
    </row>
    <row r="103" spans="2:5" x14ac:dyDescent="0.2">
      <c r="B103" s="396">
        <v>103</v>
      </c>
      <c r="C103" s="395" t="s">
        <v>260</v>
      </c>
      <c r="D103" s="394" t="s">
        <v>261</v>
      </c>
    </row>
    <row r="104" spans="2:5" x14ac:dyDescent="0.2">
      <c r="B104" s="396">
        <v>104</v>
      </c>
      <c r="C104" s="395" t="s">
        <v>262</v>
      </c>
      <c r="D104" s="394" t="s">
        <v>263</v>
      </c>
    </row>
    <row r="105" spans="2:5" x14ac:dyDescent="0.2">
      <c r="B105" s="396">
        <v>105</v>
      </c>
      <c r="C105" s="395" t="s">
        <v>264</v>
      </c>
      <c r="D105" s="394" t="s">
        <v>265</v>
      </c>
    </row>
    <row r="106" spans="2:5" x14ac:dyDescent="0.2">
      <c r="B106" s="396">
        <v>106</v>
      </c>
      <c r="C106" s="395" t="s">
        <v>266</v>
      </c>
      <c r="D106" s="394" t="s">
        <v>267</v>
      </c>
    </row>
    <row r="107" spans="2:5" x14ac:dyDescent="0.2">
      <c r="B107" s="396">
        <v>107</v>
      </c>
      <c r="C107" s="395" t="s">
        <v>268</v>
      </c>
      <c r="D107" s="394" t="s">
        <v>269</v>
      </c>
    </row>
    <row r="108" spans="2:5" x14ac:dyDescent="0.2">
      <c r="B108" s="396">
        <v>108</v>
      </c>
      <c r="C108" s="395" t="s">
        <v>270</v>
      </c>
      <c r="D108" s="394" t="s">
        <v>271</v>
      </c>
    </row>
    <row r="109" spans="2:5" x14ac:dyDescent="0.2">
      <c r="B109" s="396">
        <v>109</v>
      </c>
      <c r="C109" s="395" t="s">
        <v>272</v>
      </c>
      <c r="D109" s="394" t="s">
        <v>273</v>
      </c>
    </row>
    <row r="110" spans="2:5" x14ac:dyDescent="0.2">
      <c r="B110" s="396">
        <v>110</v>
      </c>
      <c r="C110" s="395" t="s">
        <v>274</v>
      </c>
      <c r="D110" s="394" t="s">
        <v>275</v>
      </c>
      <c r="E110" s="397" t="s">
        <v>276</v>
      </c>
    </row>
    <row r="111" spans="2:5" x14ac:dyDescent="0.2">
      <c r="B111" s="396">
        <v>111</v>
      </c>
      <c r="C111" s="395" t="s">
        <v>277</v>
      </c>
      <c r="D111" s="394" t="s">
        <v>278</v>
      </c>
      <c r="E111" s="394" t="s">
        <v>279</v>
      </c>
    </row>
    <row r="112" spans="2:5" x14ac:dyDescent="0.2">
      <c r="B112" s="396">
        <v>112</v>
      </c>
      <c r="C112" s="395" t="s">
        <v>280</v>
      </c>
      <c r="D112" s="394" t="s">
        <v>281</v>
      </c>
    </row>
    <row r="113" spans="2:18" x14ac:dyDescent="0.2">
      <c r="B113" s="396">
        <v>113</v>
      </c>
      <c r="C113" s="395" t="s">
        <v>282</v>
      </c>
      <c r="D113" s="394" t="s">
        <v>283</v>
      </c>
      <c r="E113" s="2241" t="s">
        <v>1559</v>
      </c>
      <c r="F113" s="2241"/>
      <c r="G113" s="2241"/>
      <c r="H113" s="2241"/>
      <c r="I113" s="2241"/>
      <c r="J113" s="2241"/>
      <c r="K113" s="2241"/>
      <c r="L113" s="2241"/>
      <c r="M113" s="2241"/>
      <c r="N113" s="2241"/>
      <c r="O113" s="2241"/>
      <c r="P113" s="2241"/>
      <c r="Q113" s="2241"/>
      <c r="R113" s="2241"/>
    </row>
    <row r="114" spans="2:18" x14ac:dyDescent="0.2">
      <c r="B114" s="396">
        <v>114</v>
      </c>
      <c r="C114" s="395" t="s">
        <v>284</v>
      </c>
      <c r="D114" s="394" t="s">
        <v>285</v>
      </c>
      <c r="E114" s="394" t="s">
        <v>286</v>
      </c>
    </row>
    <row r="115" spans="2:18" x14ac:dyDescent="0.2">
      <c r="B115" s="396">
        <v>115</v>
      </c>
      <c r="C115" s="395" t="s">
        <v>287</v>
      </c>
      <c r="D115" s="394" t="s">
        <v>288</v>
      </c>
    </row>
    <row r="116" spans="2:18" x14ac:dyDescent="0.2">
      <c r="B116" s="396">
        <v>116</v>
      </c>
      <c r="C116" s="395" t="s">
        <v>289</v>
      </c>
      <c r="D116" s="394" t="s">
        <v>290</v>
      </c>
    </row>
    <row r="117" spans="2:18" x14ac:dyDescent="0.2">
      <c r="B117" s="396">
        <v>117</v>
      </c>
      <c r="C117" s="395" t="s">
        <v>291</v>
      </c>
      <c r="D117" s="394" t="s">
        <v>292</v>
      </c>
    </row>
    <row r="118" spans="2:18" x14ac:dyDescent="0.2">
      <c r="B118" s="396">
        <v>118</v>
      </c>
      <c r="C118" s="395" t="s">
        <v>293</v>
      </c>
      <c r="D118" s="394" t="s">
        <v>294</v>
      </c>
    </row>
    <row r="119" spans="2:18" x14ac:dyDescent="0.2">
      <c r="B119" s="396">
        <v>119</v>
      </c>
      <c r="C119" s="395" t="s">
        <v>295</v>
      </c>
      <c r="D119" s="394" t="s">
        <v>296</v>
      </c>
    </row>
    <row r="120" spans="2:18" x14ac:dyDescent="0.2">
      <c r="B120" s="396">
        <v>120</v>
      </c>
      <c r="C120" s="395" t="s">
        <v>297</v>
      </c>
      <c r="D120" s="394" t="s">
        <v>298</v>
      </c>
    </row>
    <row r="121" spans="2:18" x14ac:dyDescent="0.2">
      <c r="B121" s="396">
        <v>121</v>
      </c>
      <c r="C121" s="395" t="s">
        <v>299</v>
      </c>
      <c r="D121" s="394" t="s">
        <v>300</v>
      </c>
    </row>
    <row r="122" spans="2:18" x14ac:dyDescent="0.2">
      <c r="B122" s="396">
        <v>122</v>
      </c>
      <c r="C122" s="398" t="s">
        <v>301</v>
      </c>
      <c r="D122" s="394" t="s">
        <v>302</v>
      </c>
    </row>
    <row r="123" spans="2:18" x14ac:dyDescent="0.2">
      <c r="B123" s="396">
        <v>123</v>
      </c>
      <c r="C123" s="395" t="s">
        <v>303</v>
      </c>
      <c r="D123" s="394" t="s">
        <v>304</v>
      </c>
    </row>
    <row r="124" spans="2:18" x14ac:dyDescent="0.2">
      <c r="B124" s="396">
        <v>124</v>
      </c>
      <c r="C124" s="395" t="s">
        <v>305</v>
      </c>
      <c r="D124" s="394" t="s">
        <v>306</v>
      </c>
    </row>
    <row r="125" spans="2:18" x14ac:dyDescent="0.2">
      <c r="B125" s="396">
        <v>125</v>
      </c>
      <c r="C125" s="395" t="s">
        <v>307</v>
      </c>
      <c r="D125" s="394" t="s">
        <v>308</v>
      </c>
    </row>
    <row r="126" spans="2:18" x14ac:dyDescent="0.2">
      <c r="B126" s="396">
        <v>126</v>
      </c>
      <c r="C126" s="395" t="s">
        <v>309</v>
      </c>
      <c r="D126" s="394" t="s">
        <v>310</v>
      </c>
    </row>
    <row r="127" spans="2:18" x14ac:dyDescent="0.2">
      <c r="B127" s="396">
        <v>127</v>
      </c>
      <c r="C127" s="395" t="s">
        <v>311</v>
      </c>
      <c r="D127" s="394" t="s">
        <v>312</v>
      </c>
    </row>
    <row r="128" spans="2:18" x14ac:dyDescent="0.2">
      <c r="B128" s="396">
        <v>128</v>
      </c>
      <c r="C128" s="395" t="s">
        <v>313</v>
      </c>
      <c r="D128" s="394" t="s">
        <v>314</v>
      </c>
    </row>
    <row r="129" spans="2:4" x14ac:dyDescent="0.2">
      <c r="B129" s="396">
        <v>129</v>
      </c>
      <c r="C129" s="395" t="s">
        <v>315</v>
      </c>
      <c r="D129" s="394" t="s">
        <v>316</v>
      </c>
    </row>
    <row r="130" spans="2:4" x14ac:dyDescent="0.2">
      <c r="B130" s="396">
        <v>130</v>
      </c>
      <c r="C130" s="395" t="s">
        <v>317</v>
      </c>
      <c r="D130" s="394" t="s">
        <v>318</v>
      </c>
    </row>
    <row r="131" spans="2:4" x14ac:dyDescent="0.2">
      <c r="B131" s="396">
        <v>131</v>
      </c>
      <c r="C131" s="395" t="s">
        <v>319</v>
      </c>
      <c r="D131" s="394" t="s">
        <v>320</v>
      </c>
    </row>
    <row r="132" spans="2:4" x14ac:dyDescent="0.2">
      <c r="B132" s="396">
        <v>132</v>
      </c>
      <c r="C132" s="395" t="s">
        <v>321</v>
      </c>
      <c r="D132" s="394" t="s">
        <v>322</v>
      </c>
    </row>
    <row r="133" spans="2:4" x14ac:dyDescent="0.2">
      <c r="B133" s="396">
        <v>133</v>
      </c>
      <c r="C133" s="395" t="s">
        <v>60</v>
      </c>
      <c r="D133" s="394" t="s">
        <v>323</v>
      </c>
    </row>
    <row r="134" spans="2:4" x14ac:dyDescent="0.2">
      <c r="B134" s="396">
        <v>134</v>
      </c>
      <c r="C134" s="395" t="s">
        <v>324</v>
      </c>
      <c r="D134" s="394" t="s">
        <v>325</v>
      </c>
    </row>
    <row r="135" spans="2:4" x14ac:dyDescent="0.2">
      <c r="B135" s="396">
        <v>135</v>
      </c>
      <c r="C135" s="395" t="s">
        <v>326</v>
      </c>
      <c r="D135" s="394" t="s">
        <v>327</v>
      </c>
    </row>
    <row r="136" spans="2:4" x14ac:dyDescent="0.2">
      <c r="B136" s="396">
        <v>136</v>
      </c>
      <c r="C136" s="395" t="s">
        <v>328</v>
      </c>
      <c r="D136" s="394" t="s">
        <v>329</v>
      </c>
    </row>
    <row r="137" spans="2:4" x14ac:dyDescent="0.2">
      <c r="B137" s="396">
        <v>137</v>
      </c>
      <c r="C137" s="395" t="s">
        <v>330</v>
      </c>
      <c r="D137" s="394" t="s">
        <v>331</v>
      </c>
    </row>
    <row r="138" spans="2:4" x14ac:dyDescent="0.2">
      <c r="B138" s="396">
        <v>138</v>
      </c>
      <c r="C138" s="395" t="s">
        <v>332</v>
      </c>
      <c r="D138" s="394" t="s">
        <v>333</v>
      </c>
    </row>
    <row r="139" spans="2:4" x14ac:dyDescent="0.2">
      <c r="B139" s="396">
        <v>139</v>
      </c>
      <c r="C139" s="395" t="s">
        <v>334</v>
      </c>
      <c r="D139" s="394" t="s">
        <v>335</v>
      </c>
    </row>
    <row r="140" spans="2:4" x14ac:dyDescent="0.2">
      <c r="B140" s="396">
        <v>140</v>
      </c>
      <c r="C140" s="395" t="s">
        <v>336</v>
      </c>
      <c r="D140" s="394" t="s">
        <v>337</v>
      </c>
    </row>
    <row r="141" spans="2:4" x14ac:dyDescent="0.2">
      <c r="B141" s="396">
        <v>141</v>
      </c>
      <c r="C141" s="395" t="s">
        <v>131</v>
      </c>
      <c r="D141" s="394" t="s">
        <v>132</v>
      </c>
    </row>
    <row r="142" spans="2:4" x14ac:dyDescent="0.2">
      <c r="B142" s="396">
        <v>142</v>
      </c>
      <c r="C142" s="395" t="s">
        <v>338</v>
      </c>
      <c r="D142" s="394" t="s">
        <v>339</v>
      </c>
    </row>
    <row r="143" spans="2:4" x14ac:dyDescent="0.2">
      <c r="B143" s="396">
        <v>143</v>
      </c>
      <c r="C143" s="395" t="s">
        <v>340</v>
      </c>
      <c r="D143" s="394" t="s">
        <v>341</v>
      </c>
    </row>
    <row r="144" spans="2:4" x14ac:dyDescent="0.2">
      <c r="B144" s="396">
        <v>144</v>
      </c>
      <c r="C144" s="395" t="s">
        <v>342</v>
      </c>
      <c r="D144" s="394" t="s">
        <v>343</v>
      </c>
    </row>
    <row r="145" spans="2:5" x14ac:dyDescent="0.2">
      <c r="B145" s="396">
        <v>145</v>
      </c>
      <c r="C145" s="395" t="s">
        <v>344</v>
      </c>
      <c r="D145" s="394" t="s">
        <v>345</v>
      </c>
    </row>
    <row r="146" spans="2:5" x14ac:dyDescent="0.2">
      <c r="B146" s="396">
        <v>146</v>
      </c>
      <c r="C146" s="395" t="s">
        <v>346</v>
      </c>
      <c r="D146" s="394" t="s">
        <v>347</v>
      </c>
    </row>
    <row r="147" spans="2:5" x14ac:dyDescent="0.2">
      <c r="B147" s="396">
        <v>147</v>
      </c>
      <c r="C147" s="395" t="s">
        <v>348</v>
      </c>
      <c r="D147" s="394" t="s">
        <v>349</v>
      </c>
    </row>
    <row r="148" spans="2:5" x14ac:dyDescent="0.2">
      <c r="B148" s="396">
        <v>148</v>
      </c>
      <c r="C148" s="395" t="s">
        <v>350</v>
      </c>
      <c r="D148" s="394" t="s">
        <v>351</v>
      </c>
    </row>
    <row r="149" spans="2:5" x14ac:dyDescent="0.2">
      <c r="B149" s="396">
        <v>149</v>
      </c>
      <c r="C149" s="395" t="s">
        <v>352</v>
      </c>
      <c r="D149" s="394" t="s">
        <v>353</v>
      </c>
    </row>
    <row r="150" spans="2:5" x14ac:dyDescent="0.2">
      <c r="B150" s="396">
        <v>150</v>
      </c>
      <c r="C150" s="395" t="s">
        <v>354</v>
      </c>
      <c r="D150" s="394" t="s">
        <v>355</v>
      </c>
    </row>
    <row r="151" spans="2:5" x14ac:dyDescent="0.2">
      <c r="B151" s="396">
        <v>151</v>
      </c>
      <c r="C151" s="395" t="s">
        <v>356</v>
      </c>
      <c r="D151" s="394" t="s">
        <v>357</v>
      </c>
    </row>
    <row r="152" spans="2:5" x14ac:dyDescent="0.2">
      <c r="B152" s="396">
        <v>152</v>
      </c>
      <c r="C152" s="395" t="s">
        <v>358</v>
      </c>
      <c r="D152" s="394" t="s">
        <v>359</v>
      </c>
    </row>
    <row r="153" spans="2:5" x14ac:dyDescent="0.2">
      <c r="B153" s="396">
        <v>153</v>
      </c>
      <c r="C153" s="395" t="s">
        <v>360</v>
      </c>
      <c r="D153" s="394" t="s">
        <v>361</v>
      </c>
    </row>
    <row r="154" spans="2:5" x14ac:dyDescent="0.2">
      <c r="B154" s="396">
        <v>154</v>
      </c>
      <c r="C154" s="395" t="s">
        <v>362</v>
      </c>
      <c r="D154" s="394" t="s">
        <v>363</v>
      </c>
    </row>
    <row r="155" spans="2:5" x14ac:dyDescent="0.2">
      <c r="B155" s="396">
        <v>155</v>
      </c>
      <c r="C155" s="395" t="s">
        <v>364</v>
      </c>
      <c r="D155" s="394" t="s">
        <v>365</v>
      </c>
    </row>
    <row r="156" spans="2:5" x14ac:dyDescent="0.2">
      <c r="B156" s="396">
        <v>156</v>
      </c>
      <c r="C156" s="395" t="s">
        <v>366</v>
      </c>
      <c r="D156" s="394" t="s">
        <v>367</v>
      </c>
    </row>
    <row r="157" spans="2:5" x14ac:dyDescent="0.2">
      <c r="B157" s="396">
        <v>157</v>
      </c>
      <c r="C157" s="395" t="s">
        <v>368</v>
      </c>
      <c r="D157" s="394" t="s">
        <v>369</v>
      </c>
    </row>
    <row r="158" spans="2:5" x14ac:dyDescent="0.2">
      <c r="B158" s="396">
        <v>158</v>
      </c>
      <c r="C158" s="395" t="s">
        <v>370</v>
      </c>
      <c r="D158" s="394" t="s">
        <v>371</v>
      </c>
      <c r="E158" s="394" t="s">
        <v>372</v>
      </c>
    </row>
    <row r="159" spans="2:5" x14ac:dyDescent="0.2">
      <c r="B159" s="396">
        <v>159</v>
      </c>
      <c r="C159" s="395" t="s">
        <v>373</v>
      </c>
      <c r="D159" s="394" t="s">
        <v>374</v>
      </c>
      <c r="E159" s="394" t="s">
        <v>375</v>
      </c>
    </row>
    <row r="160" spans="2:5" x14ac:dyDescent="0.2">
      <c r="B160" s="396">
        <v>160</v>
      </c>
      <c r="C160" s="395" t="s">
        <v>376</v>
      </c>
      <c r="D160" s="394" t="s">
        <v>377</v>
      </c>
    </row>
    <row r="161" spans="2:5" x14ac:dyDescent="0.2">
      <c r="B161" s="396">
        <v>161</v>
      </c>
      <c r="C161" s="395" t="s">
        <v>378</v>
      </c>
      <c r="D161" s="394" t="s">
        <v>379</v>
      </c>
      <c r="E161" s="394" t="s">
        <v>380</v>
      </c>
    </row>
    <row r="162" spans="2:5" x14ac:dyDescent="0.2">
      <c r="B162" s="396">
        <v>162</v>
      </c>
      <c r="C162" s="395" t="s">
        <v>381</v>
      </c>
      <c r="D162" s="394" t="s">
        <v>382</v>
      </c>
      <c r="E162" s="394" t="s">
        <v>383</v>
      </c>
    </row>
    <row r="163" spans="2:5" x14ac:dyDescent="0.2">
      <c r="B163" s="396">
        <v>163</v>
      </c>
      <c r="C163" s="395" t="s">
        <v>384</v>
      </c>
      <c r="D163" s="394" t="s">
        <v>385</v>
      </c>
    </row>
    <row r="164" spans="2:5" x14ac:dyDescent="0.2">
      <c r="B164" s="396">
        <v>164</v>
      </c>
      <c r="C164" s="395" t="s">
        <v>185</v>
      </c>
      <c r="D164" s="394" t="s">
        <v>186</v>
      </c>
    </row>
    <row r="165" spans="2:5" x14ac:dyDescent="0.2">
      <c r="B165" s="396">
        <v>165</v>
      </c>
      <c r="C165" s="398" t="s">
        <v>386</v>
      </c>
      <c r="D165" s="394" t="s">
        <v>387</v>
      </c>
    </row>
    <row r="166" spans="2:5" x14ac:dyDescent="0.2">
      <c r="B166" s="396">
        <v>166</v>
      </c>
      <c r="C166" s="395" t="s">
        <v>303</v>
      </c>
      <c r="D166" s="394" t="s">
        <v>304</v>
      </c>
    </row>
    <row r="167" spans="2:5" x14ac:dyDescent="0.2">
      <c r="B167" s="396">
        <v>167</v>
      </c>
      <c r="C167" s="395" t="s">
        <v>305</v>
      </c>
      <c r="D167" s="394" t="s">
        <v>388</v>
      </c>
    </row>
    <row r="168" spans="2:5" x14ac:dyDescent="0.2">
      <c r="B168" s="396">
        <v>168</v>
      </c>
      <c r="C168" s="395" t="s">
        <v>389</v>
      </c>
      <c r="D168" s="394" t="s">
        <v>390</v>
      </c>
    </row>
    <row r="169" spans="2:5" x14ac:dyDescent="0.2">
      <c r="B169" s="396">
        <v>169</v>
      </c>
      <c r="C169" s="395" t="s">
        <v>391</v>
      </c>
      <c r="D169" s="394" t="s">
        <v>392</v>
      </c>
    </row>
    <row r="170" spans="2:5" x14ac:dyDescent="0.2">
      <c r="B170" s="396">
        <v>170</v>
      </c>
      <c r="C170" s="395" t="s">
        <v>393</v>
      </c>
      <c r="D170" s="394" t="s">
        <v>394</v>
      </c>
    </row>
    <row r="171" spans="2:5" x14ac:dyDescent="0.2">
      <c r="B171" s="396">
        <v>171</v>
      </c>
      <c r="C171" s="395" t="s">
        <v>395</v>
      </c>
      <c r="D171" s="394" t="s">
        <v>396</v>
      </c>
    </row>
    <row r="172" spans="2:5" x14ac:dyDescent="0.2">
      <c r="B172" s="396">
        <v>172</v>
      </c>
      <c r="C172" s="395" t="s">
        <v>397</v>
      </c>
      <c r="D172" s="394" t="s">
        <v>398</v>
      </c>
    </row>
    <row r="173" spans="2:5" x14ac:dyDescent="0.2">
      <c r="B173" s="396">
        <v>173</v>
      </c>
      <c r="C173" s="395" t="s">
        <v>399</v>
      </c>
      <c r="D173" s="394" t="s">
        <v>400</v>
      </c>
    </row>
    <row r="174" spans="2:5" x14ac:dyDescent="0.2">
      <c r="B174" s="396">
        <v>174</v>
      </c>
      <c r="C174" s="395" t="s">
        <v>401</v>
      </c>
      <c r="D174" s="394" t="s">
        <v>402</v>
      </c>
    </row>
    <row r="175" spans="2:5" x14ac:dyDescent="0.2">
      <c r="B175" s="396">
        <v>175</v>
      </c>
      <c r="C175" s="395" t="s">
        <v>60</v>
      </c>
      <c r="D175" s="394" t="s">
        <v>323</v>
      </c>
    </row>
    <row r="176" spans="2:5" x14ac:dyDescent="0.2">
      <c r="B176" s="396">
        <v>176</v>
      </c>
      <c r="C176" s="395" t="s">
        <v>324</v>
      </c>
      <c r="D176" s="394" t="s">
        <v>325</v>
      </c>
    </row>
    <row r="177" spans="2:5" x14ac:dyDescent="0.2">
      <c r="B177" s="396">
        <v>177</v>
      </c>
      <c r="C177" s="395" t="s">
        <v>326</v>
      </c>
      <c r="D177" s="394" t="s">
        <v>403</v>
      </c>
    </row>
    <row r="178" spans="2:5" x14ac:dyDescent="0.2">
      <c r="B178" s="396">
        <v>178</v>
      </c>
      <c r="C178" s="395" t="s">
        <v>404</v>
      </c>
      <c r="D178" s="394" t="s">
        <v>405</v>
      </c>
    </row>
    <row r="179" spans="2:5" x14ac:dyDescent="0.2">
      <c r="B179" s="396">
        <v>179</v>
      </c>
      <c r="C179" s="395" t="s">
        <v>330</v>
      </c>
      <c r="D179" s="394" t="s">
        <v>331</v>
      </c>
    </row>
    <row r="180" spans="2:5" x14ac:dyDescent="0.2">
      <c r="B180" s="396">
        <v>180</v>
      </c>
      <c r="C180" s="395" t="s">
        <v>332</v>
      </c>
      <c r="D180" s="394" t="s">
        <v>333</v>
      </c>
      <c r="E180" s="394" t="s">
        <v>406</v>
      </c>
    </row>
    <row r="181" spans="2:5" x14ac:dyDescent="0.2">
      <c r="B181" s="396">
        <v>181</v>
      </c>
      <c r="C181" s="395" t="s">
        <v>334</v>
      </c>
      <c r="D181" s="394" t="s">
        <v>335</v>
      </c>
      <c r="E181" s="394" t="s">
        <v>407</v>
      </c>
    </row>
    <row r="182" spans="2:5" x14ac:dyDescent="0.2">
      <c r="B182" s="396">
        <v>182</v>
      </c>
      <c r="C182" s="395" t="s">
        <v>408</v>
      </c>
      <c r="D182" s="394" t="s">
        <v>409</v>
      </c>
    </row>
    <row r="183" spans="2:5" x14ac:dyDescent="0.2">
      <c r="B183" s="396">
        <v>183</v>
      </c>
      <c r="C183" s="395" t="s">
        <v>185</v>
      </c>
      <c r="D183" s="394" t="s">
        <v>186</v>
      </c>
      <c r="E183" s="394" t="s">
        <v>410</v>
      </c>
    </row>
    <row r="184" spans="2:5" x14ac:dyDescent="0.2">
      <c r="B184" s="396">
        <v>184</v>
      </c>
      <c r="C184" s="398" t="s">
        <v>411</v>
      </c>
      <c r="D184" s="394" t="s">
        <v>412</v>
      </c>
      <c r="E184" s="394" t="s">
        <v>413</v>
      </c>
    </row>
    <row r="185" spans="2:5" x14ac:dyDescent="0.2">
      <c r="B185" s="396">
        <v>185</v>
      </c>
      <c r="C185" s="395" t="s">
        <v>414</v>
      </c>
      <c r="D185" s="394" t="s">
        <v>415</v>
      </c>
    </row>
    <row r="186" spans="2:5" x14ac:dyDescent="0.2">
      <c r="B186" s="396">
        <v>186</v>
      </c>
      <c r="C186" s="395" t="s">
        <v>416</v>
      </c>
      <c r="D186" s="394" t="s">
        <v>417</v>
      </c>
    </row>
    <row r="187" spans="2:5" x14ac:dyDescent="0.2">
      <c r="B187" s="396">
        <v>187</v>
      </c>
      <c r="C187" s="395" t="s">
        <v>418</v>
      </c>
      <c r="D187" s="394" t="s">
        <v>419</v>
      </c>
    </row>
    <row r="188" spans="2:5" x14ac:dyDescent="0.2">
      <c r="B188" s="396">
        <v>188</v>
      </c>
      <c r="C188" s="395" t="s">
        <v>420</v>
      </c>
      <c r="D188" s="394" t="s">
        <v>421</v>
      </c>
    </row>
    <row r="189" spans="2:5" x14ac:dyDescent="0.2">
      <c r="B189" s="396">
        <v>189</v>
      </c>
      <c r="C189" s="395" t="s">
        <v>422</v>
      </c>
      <c r="D189" s="394" t="s">
        <v>423</v>
      </c>
    </row>
    <row r="190" spans="2:5" x14ac:dyDescent="0.2">
      <c r="B190" s="396">
        <v>190</v>
      </c>
      <c r="C190" s="395" t="s">
        <v>424</v>
      </c>
      <c r="D190" s="394" t="s">
        <v>425</v>
      </c>
    </row>
    <row r="191" spans="2:5" x14ac:dyDescent="0.2">
      <c r="B191" s="396">
        <v>191</v>
      </c>
      <c r="C191" s="395" t="s">
        <v>426</v>
      </c>
      <c r="D191" s="394" t="s">
        <v>427</v>
      </c>
    </row>
    <row r="192" spans="2:5" x14ac:dyDescent="0.2">
      <c r="B192" s="396">
        <v>192</v>
      </c>
      <c r="C192" s="395" t="s">
        <v>428</v>
      </c>
      <c r="D192" s="394" t="s">
        <v>429</v>
      </c>
    </row>
    <row r="193" spans="2:4" x14ac:dyDescent="0.2">
      <c r="B193" s="396">
        <v>193</v>
      </c>
      <c r="C193" s="395" t="s">
        <v>430</v>
      </c>
      <c r="D193" s="394" t="s">
        <v>431</v>
      </c>
    </row>
    <row r="194" spans="2:4" x14ac:dyDescent="0.2">
      <c r="B194" s="396">
        <v>194</v>
      </c>
      <c r="C194" s="395" t="s">
        <v>60</v>
      </c>
      <c r="D194" s="394" t="s">
        <v>323</v>
      </c>
    </row>
    <row r="195" spans="2:4" x14ac:dyDescent="0.2">
      <c r="B195" s="396">
        <v>195</v>
      </c>
      <c r="C195" s="395" t="s">
        <v>432</v>
      </c>
      <c r="D195" s="394" t="s">
        <v>433</v>
      </c>
    </row>
    <row r="196" spans="2:4" x14ac:dyDescent="0.2">
      <c r="B196" s="396">
        <v>196</v>
      </c>
      <c r="C196" s="395" t="s">
        <v>420</v>
      </c>
      <c r="D196" s="394" t="s">
        <v>421</v>
      </c>
    </row>
    <row r="197" spans="2:4" x14ac:dyDescent="0.2">
      <c r="B197" s="396">
        <v>197</v>
      </c>
      <c r="C197" s="395" t="s">
        <v>422</v>
      </c>
      <c r="D197" s="394" t="s">
        <v>423</v>
      </c>
    </row>
    <row r="198" spans="2:4" x14ac:dyDescent="0.2">
      <c r="B198" s="396">
        <v>198</v>
      </c>
      <c r="C198" s="395" t="s">
        <v>424</v>
      </c>
      <c r="D198" s="394" t="s">
        <v>425</v>
      </c>
    </row>
    <row r="199" spans="2:4" x14ac:dyDescent="0.2">
      <c r="B199" s="396">
        <v>199</v>
      </c>
      <c r="C199" s="395" t="s">
        <v>426</v>
      </c>
      <c r="D199" s="394" t="s">
        <v>427</v>
      </c>
    </row>
    <row r="200" spans="2:4" x14ac:dyDescent="0.2">
      <c r="B200" s="396">
        <v>200</v>
      </c>
      <c r="C200" s="395" t="s">
        <v>434</v>
      </c>
      <c r="D200" s="394" t="s">
        <v>435</v>
      </c>
    </row>
    <row r="201" spans="2:4" x14ac:dyDescent="0.2">
      <c r="B201" s="396">
        <v>201</v>
      </c>
      <c r="C201" s="395" t="s">
        <v>436</v>
      </c>
      <c r="D201" s="394" t="s">
        <v>437</v>
      </c>
    </row>
    <row r="202" spans="2:4" x14ac:dyDescent="0.2">
      <c r="B202" s="396">
        <v>202</v>
      </c>
      <c r="C202" s="395" t="s">
        <v>438</v>
      </c>
      <c r="D202" s="394" t="s">
        <v>438</v>
      </c>
    </row>
    <row r="203" spans="2:4" x14ac:dyDescent="0.2">
      <c r="B203" s="396">
        <v>203</v>
      </c>
      <c r="C203" s="395" t="s">
        <v>439</v>
      </c>
      <c r="D203" s="394" t="s">
        <v>440</v>
      </c>
    </row>
    <row r="204" spans="2:4" x14ac:dyDescent="0.2">
      <c r="B204" s="396">
        <v>204</v>
      </c>
      <c r="C204" s="395" t="s">
        <v>25</v>
      </c>
      <c r="D204" s="394" t="s">
        <v>441</v>
      </c>
    </row>
    <row r="205" spans="2:4" x14ac:dyDescent="0.2">
      <c r="B205" s="396">
        <v>205</v>
      </c>
      <c r="C205" s="395" t="s">
        <v>26</v>
      </c>
      <c r="D205" s="394" t="s">
        <v>442</v>
      </c>
    </row>
    <row r="206" spans="2:4" x14ac:dyDescent="0.2">
      <c r="B206" s="396">
        <v>206</v>
      </c>
      <c r="C206" s="395" t="s">
        <v>443</v>
      </c>
      <c r="D206" s="394" t="s">
        <v>444</v>
      </c>
    </row>
    <row r="207" spans="2:4" x14ac:dyDescent="0.2">
      <c r="B207" s="396">
        <v>207</v>
      </c>
      <c r="C207" s="395" t="s">
        <v>445</v>
      </c>
      <c r="D207" s="394" t="s">
        <v>446</v>
      </c>
    </row>
    <row r="208" spans="2:4" x14ac:dyDescent="0.2">
      <c r="B208" s="396">
        <v>208</v>
      </c>
      <c r="C208" s="395" t="s">
        <v>447</v>
      </c>
      <c r="D208" s="394" t="s">
        <v>448</v>
      </c>
    </row>
    <row r="209" spans="2:4" x14ac:dyDescent="0.2">
      <c r="B209" s="396">
        <v>209</v>
      </c>
      <c r="C209" s="395" t="s">
        <v>449</v>
      </c>
      <c r="D209" s="394" t="s">
        <v>450</v>
      </c>
    </row>
    <row r="210" spans="2:4" x14ac:dyDescent="0.2">
      <c r="B210" s="396">
        <v>210</v>
      </c>
      <c r="C210" s="395" t="s">
        <v>451</v>
      </c>
      <c r="D210" s="394" t="s">
        <v>452</v>
      </c>
    </row>
    <row r="211" spans="2:4" x14ac:dyDescent="0.2">
      <c r="B211" s="396">
        <v>211</v>
      </c>
      <c r="C211" s="395" t="s">
        <v>453</v>
      </c>
      <c r="D211" s="394" t="s">
        <v>454</v>
      </c>
    </row>
    <row r="212" spans="2:4" x14ac:dyDescent="0.2">
      <c r="B212" s="396">
        <v>212</v>
      </c>
      <c r="C212" s="395" t="s">
        <v>455</v>
      </c>
      <c r="D212" s="394" t="s">
        <v>456</v>
      </c>
    </row>
    <row r="213" spans="2:4" x14ac:dyDescent="0.2">
      <c r="B213" s="396">
        <v>213</v>
      </c>
      <c r="C213" s="395" t="s">
        <v>457</v>
      </c>
      <c r="D213" s="394" t="s">
        <v>458</v>
      </c>
    </row>
    <row r="214" spans="2:4" x14ac:dyDescent="0.2">
      <c r="B214" s="396">
        <v>214</v>
      </c>
      <c r="C214" s="395" t="s">
        <v>459</v>
      </c>
      <c r="D214" s="394" t="s">
        <v>460</v>
      </c>
    </row>
    <row r="215" spans="2:4" x14ac:dyDescent="0.2">
      <c r="B215" s="396">
        <v>215</v>
      </c>
      <c r="C215" s="395" t="s">
        <v>432</v>
      </c>
      <c r="D215" s="394" t="s">
        <v>433</v>
      </c>
    </row>
    <row r="216" spans="2:4" x14ac:dyDescent="0.2">
      <c r="B216" s="396">
        <v>216</v>
      </c>
      <c r="C216" s="395" t="s">
        <v>436</v>
      </c>
      <c r="D216" s="394" t="s">
        <v>437</v>
      </c>
    </row>
    <row r="217" spans="2:4" x14ac:dyDescent="0.2">
      <c r="B217" s="396">
        <v>217</v>
      </c>
      <c r="C217" s="395" t="s">
        <v>445</v>
      </c>
      <c r="D217" s="394" t="s">
        <v>446</v>
      </c>
    </row>
    <row r="218" spans="2:4" x14ac:dyDescent="0.2">
      <c r="B218" s="396">
        <v>218</v>
      </c>
      <c r="C218" s="395" t="s">
        <v>461</v>
      </c>
      <c r="D218" s="394" t="s">
        <v>462</v>
      </c>
    </row>
    <row r="219" spans="2:4" x14ac:dyDescent="0.2">
      <c r="B219" s="396">
        <v>219</v>
      </c>
      <c r="C219" s="395" t="s">
        <v>463</v>
      </c>
      <c r="D219" s="394" t="s">
        <v>464</v>
      </c>
    </row>
    <row r="220" spans="2:4" x14ac:dyDescent="0.2">
      <c r="B220" s="396">
        <v>220</v>
      </c>
      <c r="C220" s="395" t="s">
        <v>465</v>
      </c>
      <c r="D220" s="394" t="s">
        <v>466</v>
      </c>
    </row>
    <row r="221" spans="2:4" x14ac:dyDescent="0.2">
      <c r="B221" s="396">
        <v>221</v>
      </c>
      <c r="C221" s="395" t="s">
        <v>467</v>
      </c>
      <c r="D221" s="394" t="s">
        <v>468</v>
      </c>
    </row>
    <row r="222" spans="2:4" x14ac:dyDescent="0.2">
      <c r="B222" s="396">
        <v>222</v>
      </c>
      <c r="C222" s="395" t="s">
        <v>469</v>
      </c>
      <c r="D222" s="394" t="s">
        <v>470</v>
      </c>
    </row>
    <row r="223" spans="2:4" x14ac:dyDescent="0.2">
      <c r="B223" s="396">
        <v>223</v>
      </c>
      <c r="C223" s="395" t="s">
        <v>471</v>
      </c>
      <c r="D223" s="394" t="s">
        <v>472</v>
      </c>
    </row>
    <row r="224" spans="2:4" x14ac:dyDescent="0.2">
      <c r="B224" s="396">
        <v>224</v>
      </c>
      <c r="C224" s="395" t="s">
        <v>473</v>
      </c>
      <c r="D224" s="394" t="s">
        <v>474</v>
      </c>
    </row>
    <row r="225" spans="2:5" x14ac:dyDescent="0.2">
      <c r="B225" s="396">
        <v>225</v>
      </c>
      <c r="C225" s="395" t="s">
        <v>475</v>
      </c>
      <c r="D225" s="394" t="s">
        <v>476</v>
      </c>
    </row>
    <row r="226" spans="2:5" x14ac:dyDescent="0.2">
      <c r="B226" s="396">
        <v>226</v>
      </c>
      <c r="C226" s="395" t="s">
        <v>477</v>
      </c>
      <c r="D226" s="394" t="s">
        <v>477</v>
      </c>
    </row>
    <row r="227" spans="2:5" x14ac:dyDescent="0.2">
      <c r="B227" s="396">
        <v>227</v>
      </c>
      <c r="C227" s="395" t="s">
        <v>478</v>
      </c>
      <c r="D227" s="394" t="s">
        <v>479</v>
      </c>
    </row>
    <row r="228" spans="2:5" x14ac:dyDescent="0.2">
      <c r="B228" s="396">
        <v>228</v>
      </c>
      <c r="C228" s="395" t="s">
        <v>131</v>
      </c>
      <c r="D228" s="394" t="s">
        <v>132</v>
      </c>
    </row>
    <row r="229" spans="2:5" x14ac:dyDescent="0.2">
      <c r="B229" s="396">
        <v>229</v>
      </c>
      <c r="C229" s="395" t="s">
        <v>480</v>
      </c>
      <c r="D229" s="394" t="s">
        <v>481</v>
      </c>
    </row>
    <row r="230" spans="2:5" x14ac:dyDescent="0.2">
      <c r="B230" s="396">
        <v>230</v>
      </c>
      <c r="C230" s="395" t="s">
        <v>482</v>
      </c>
      <c r="D230" s="394" t="s">
        <v>483</v>
      </c>
    </row>
    <row r="231" spans="2:5" x14ac:dyDescent="0.2">
      <c r="B231" s="396">
        <v>231</v>
      </c>
      <c r="C231" s="395" t="s">
        <v>484</v>
      </c>
      <c r="D231" s="394" t="s">
        <v>485</v>
      </c>
    </row>
    <row r="232" spans="2:5" x14ac:dyDescent="0.2">
      <c r="B232" s="396">
        <v>232</v>
      </c>
      <c r="C232" s="395" t="s">
        <v>486</v>
      </c>
      <c r="D232" s="394" t="s">
        <v>487</v>
      </c>
    </row>
    <row r="233" spans="2:5" x14ac:dyDescent="0.2">
      <c r="B233" s="396">
        <v>233</v>
      </c>
      <c r="C233" s="395" t="s">
        <v>488</v>
      </c>
      <c r="D233" s="394" t="s">
        <v>489</v>
      </c>
    </row>
    <row r="234" spans="2:5" x14ac:dyDescent="0.2">
      <c r="B234" s="396">
        <v>234</v>
      </c>
      <c r="C234" s="395" t="s">
        <v>490</v>
      </c>
      <c r="D234" s="394" t="s">
        <v>491</v>
      </c>
    </row>
    <row r="235" spans="2:5" x14ac:dyDescent="0.2">
      <c r="B235" s="396">
        <v>235</v>
      </c>
      <c r="C235" s="395" t="s">
        <v>492</v>
      </c>
      <c r="D235" s="394" t="s">
        <v>493</v>
      </c>
    </row>
    <row r="236" spans="2:5" x14ac:dyDescent="0.2">
      <c r="B236" s="396">
        <v>236</v>
      </c>
      <c r="C236" s="395" t="s">
        <v>494</v>
      </c>
      <c r="D236" s="394" t="s">
        <v>495</v>
      </c>
      <c r="E236" s="394" t="s">
        <v>496</v>
      </c>
    </row>
    <row r="237" spans="2:5" x14ac:dyDescent="0.2">
      <c r="B237" s="396">
        <v>237</v>
      </c>
      <c r="C237" s="395" t="s">
        <v>497</v>
      </c>
      <c r="D237" s="394" t="s">
        <v>498</v>
      </c>
      <c r="E237" s="394" t="s">
        <v>499</v>
      </c>
    </row>
    <row r="238" spans="2:5" x14ac:dyDescent="0.2">
      <c r="B238" s="396">
        <v>238</v>
      </c>
      <c r="C238" s="395" t="s">
        <v>500</v>
      </c>
      <c r="D238" s="394" t="s">
        <v>501</v>
      </c>
    </row>
    <row r="239" spans="2:5" x14ac:dyDescent="0.2">
      <c r="B239" s="396">
        <v>239</v>
      </c>
      <c r="C239" s="395" t="s">
        <v>502</v>
      </c>
      <c r="D239" s="394" t="s">
        <v>503</v>
      </c>
    </row>
    <row r="240" spans="2:5" x14ac:dyDescent="0.2">
      <c r="B240" s="396">
        <v>240</v>
      </c>
      <c r="C240" s="395" t="s">
        <v>504</v>
      </c>
      <c r="D240" s="394" t="s">
        <v>505</v>
      </c>
    </row>
    <row r="241" spans="2:4" x14ac:dyDescent="0.2">
      <c r="B241" s="396">
        <v>241</v>
      </c>
      <c r="C241" s="395" t="s">
        <v>506</v>
      </c>
      <c r="D241" s="394" t="s">
        <v>507</v>
      </c>
    </row>
    <row r="242" spans="2:4" x14ac:dyDescent="0.2">
      <c r="B242" s="396">
        <v>242</v>
      </c>
      <c r="C242" s="395" t="s">
        <v>438</v>
      </c>
      <c r="D242" s="394" t="s">
        <v>438</v>
      </c>
    </row>
    <row r="243" spans="2:4" x14ac:dyDescent="0.2">
      <c r="B243" s="396">
        <v>243</v>
      </c>
      <c r="C243" s="395" t="s">
        <v>439</v>
      </c>
      <c r="D243" s="394" t="s">
        <v>440</v>
      </c>
    </row>
    <row r="244" spans="2:4" x14ac:dyDescent="0.2">
      <c r="B244" s="396">
        <v>244</v>
      </c>
      <c r="C244" s="395" t="s">
        <v>508</v>
      </c>
      <c r="D244" s="394" t="s">
        <v>509</v>
      </c>
    </row>
    <row r="245" spans="2:4" x14ac:dyDescent="0.2">
      <c r="B245" s="396">
        <v>245</v>
      </c>
      <c r="C245" s="395" t="s">
        <v>510</v>
      </c>
      <c r="D245" s="394" t="s">
        <v>511</v>
      </c>
    </row>
    <row r="246" spans="2:4" x14ac:dyDescent="0.2">
      <c r="B246" s="396">
        <v>246</v>
      </c>
      <c r="C246" s="395" t="s">
        <v>512</v>
      </c>
      <c r="D246" s="394" t="s">
        <v>513</v>
      </c>
    </row>
    <row r="247" spans="2:4" x14ac:dyDescent="0.2">
      <c r="B247" s="396">
        <v>247</v>
      </c>
      <c r="C247" s="395" t="s">
        <v>514</v>
      </c>
      <c r="D247" s="394" t="s">
        <v>515</v>
      </c>
    </row>
    <row r="248" spans="2:4" x14ac:dyDescent="0.2">
      <c r="B248" s="396">
        <v>248</v>
      </c>
      <c r="C248" s="395" t="s">
        <v>420</v>
      </c>
      <c r="D248" s="394" t="s">
        <v>421</v>
      </c>
    </row>
    <row r="249" spans="2:4" x14ac:dyDescent="0.2">
      <c r="B249" s="396">
        <v>249</v>
      </c>
      <c r="C249" s="395" t="s">
        <v>422</v>
      </c>
      <c r="D249" s="394" t="s">
        <v>516</v>
      </c>
    </row>
    <row r="250" spans="2:4" x14ac:dyDescent="0.2">
      <c r="B250" s="396">
        <v>250</v>
      </c>
      <c r="C250" s="395" t="s">
        <v>420</v>
      </c>
      <c r="D250" s="394" t="s">
        <v>421</v>
      </c>
    </row>
    <row r="251" spans="2:4" x14ac:dyDescent="0.2">
      <c r="B251" s="396">
        <v>251</v>
      </c>
      <c r="C251" s="395" t="s">
        <v>422</v>
      </c>
      <c r="D251" s="394" t="s">
        <v>516</v>
      </c>
    </row>
    <row r="252" spans="2:4" x14ac:dyDescent="0.2">
      <c r="B252" s="396">
        <v>252</v>
      </c>
      <c r="C252" s="395" t="s">
        <v>438</v>
      </c>
      <c r="D252" s="394" t="s">
        <v>438</v>
      </c>
    </row>
    <row r="253" spans="2:4" x14ac:dyDescent="0.2">
      <c r="B253" s="396">
        <v>253</v>
      </c>
      <c r="C253" s="395" t="s">
        <v>439</v>
      </c>
      <c r="D253" s="394" t="s">
        <v>440</v>
      </c>
    </row>
    <row r="254" spans="2:4" x14ac:dyDescent="0.2">
      <c r="B254" s="396">
        <v>254</v>
      </c>
      <c r="C254" s="395" t="s">
        <v>517</v>
      </c>
      <c r="D254" s="394" t="s">
        <v>518</v>
      </c>
    </row>
    <row r="255" spans="2:4" x14ac:dyDescent="0.2">
      <c r="B255" s="396">
        <v>255</v>
      </c>
      <c r="C255" s="395" t="s">
        <v>519</v>
      </c>
      <c r="D255" s="394" t="s">
        <v>520</v>
      </c>
    </row>
    <row r="256" spans="2:4" x14ac:dyDescent="0.2">
      <c r="B256" s="396">
        <v>256</v>
      </c>
      <c r="C256" s="395" t="s">
        <v>426</v>
      </c>
      <c r="D256" s="394" t="s">
        <v>521</v>
      </c>
    </row>
    <row r="257" spans="2:5" x14ac:dyDescent="0.2">
      <c r="B257" s="396">
        <v>257</v>
      </c>
      <c r="C257" s="395" t="s">
        <v>519</v>
      </c>
      <c r="D257" s="394" t="s">
        <v>520</v>
      </c>
    </row>
    <row r="258" spans="2:5" x14ac:dyDescent="0.2">
      <c r="B258" s="396">
        <v>258</v>
      </c>
      <c r="C258" s="395" t="s">
        <v>426</v>
      </c>
      <c r="D258" s="394" t="s">
        <v>521</v>
      </c>
    </row>
    <row r="259" spans="2:5" x14ac:dyDescent="0.2">
      <c r="B259" s="396">
        <v>259</v>
      </c>
      <c r="C259" s="395" t="s">
        <v>25</v>
      </c>
      <c r="D259" s="394" t="s">
        <v>441</v>
      </c>
      <c r="E259" s="394" t="s">
        <v>522</v>
      </c>
    </row>
    <row r="260" spans="2:5" x14ac:dyDescent="0.2">
      <c r="B260" s="396">
        <v>260</v>
      </c>
      <c r="C260" s="395" t="s">
        <v>26</v>
      </c>
      <c r="D260" s="394" t="s">
        <v>442</v>
      </c>
      <c r="E260" s="394" t="s">
        <v>523</v>
      </c>
    </row>
    <row r="261" spans="2:5" x14ac:dyDescent="0.2">
      <c r="B261" s="396">
        <v>261</v>
      </c>
      <c r="C261" s="395" t="s">
        <v>524</v>
      </c>
      <c r="D261" s="394" t="s">
        <v>525</v>
      </c>
      <c r="E261" s="394" t="s">
        <v>526</v>
      </c>
    </row>
    <row r="262" spans="2:5" x14ac:dyDescent="0.2">
      <c r="B262" s="396">
        <v>262</v>
      </c>
      <c r="C262" s="395" t="s">
        <v>527</v>
      </c>
      <c r="D262" s="394" t="s">
        <v>528</v>
      </c>
      <c r="E262" s="394" t="s">
        <v>529</v>
      </c>
    </row>
    <row r="263" spans="2:5" x14ac:dyDescent="0.2">
      <c r="B263" s="396">
        <v>263</v>
      </c>
      <c r="C263" s="395" t="s">
        <v>530</v>
      </c>
      <c r="D263" s="394" t="s">
        <v>531</v>
      </c>
      <c r="E263" s="394" t="s">
        <v>532</v>
      </c>
    </row>
    <row r="264" spans="2:5" x14ac:dyDescent="0.2">
      <c r="B264" s="396">
        <v>264</v>
      </c>
      <c r="C264" s="395" t="s">
        <v>533</v>
      </c>
      <c r="D264" s="394" t="s">
        <v>534</v>
      </c>
      <c r="E264" s="394" t="s">
        <v>535</v>
      </c>
    </row>
    <row r="265" spans="2:5" x14ac:dyDescent="0.2">
      <c r="B265" s="396">
        <v>265</v>
      </c>
      <c r="C265" s="395" t="s">
        <v>376</v>
      </c>
      <c r="D265" s="394" t="s">
        <v>377</v>
      </c>
    </row>
    <row r="266" spans="2:5" x14ac:dyDescent="0.2">
      <c r="B266" s="396">
        <v>266</v>
      </c>
      <c r="C266" s="395" t="s">
        <v>185</v>
      </c>
      <c r="D266" s="394" t="s">
        <v>186</v>
      </c>
      <c r="E266" s="394" t="s">
        <v>536</v>
      </c>
    </row>
    <row r="267" spans="2:5" x14ac:dyDescent="0.2">
      <c r="B267" s="396">
        <v>267</v>
      </c>
      <c r="C267" s="398" t="s">
        <v>537</v>
      </c>
      <c r="D267" s="394" t="s">
        <v>538</v>
      </c>
      <c r="E267" s="394" t="s">
        <v>539</v>
      </c>
    </row>
    <row r="268" spans="2:5" x14ac:dyDescent="0.2">
      <c r="B268" s="396">
        <v>268</v>
      </c>
      <c r="C268" s="395" t="s">
        <v>540</v>
      </c>
      <c r="D268" s="394" t="s">
        <v>541</v>
      </c>
    </row>
    <row r="269" spans="2:5" x14ac:dyDescent="0.2">
      <c r="B269" s="396">
        <v>269</v>
      </c>
      <c r="C269" s="395" t="s">
        <v>542</v>
      </c>
      <c r="D269" s="394" t="s">
        <v>543</v>
      </c>
      <c r="E269" s="394" t="s">
        <v>544</v>
      </c>
    </row>
    <row r="270" spans="2:5" x14ac:dyDescent="0.2">
      <c r="B270" s="396">
        <v>270</v>
      </c>
      <c r="C270" s="395" t="s">
        <v>545</v>
      </c>
      <c r="D270" s="394" t="s">
        <v>546</v>
      </c>
      <c r="E270" s="394" t="s">
        <v>547</v>
      </c>
    </row>
    <row r="271" spans="2:5" x14ac:dyDescent="0.2">
      <c r="B271" s="396">
        <v>271</v>
      </c>
      <c r="C271" s="395" t="s">
        <v>548</v>
      </c>
      <c r="D271" s="394" t="s">
        <v>549</v>
      </c>
    </row>
    <row r="272" spans="2:5" x14ac:dyDescent="0.2">
      <c r="B272" s="396">
        <v>272</v>
      </c>
      <c r="C272" s="395" t="s">
        <v>550</v>
      </c>
      <c r="D272" s="394" t="s">
        <v>551</v>
      </c>
    </row>
    <row r="273" spans="2:4" x14ac:dyDescent="0.2">
      <c r="B273" s="396">
        <v>273</v>
      </c>
      <c r="C273" s="395" t="s">
        <v>552</v>
      </c>
      <c r="D273" s="394" t="s">
        <v>553</v>
      </c>
    </row>
    <row r="274" spans="2:4" x14ac:dyDescent="0.2">
      <c r="B274" s="396">
        <v>274</v>
      </c>
      <c r="C274" s="395" t="s">
        <v>554</v>
      </c>
      <c r="D274" s="394" t="s">
        <v>555</v>
      </c>
    </row>
    <row r="275" spans="2:4" x14ac:dyDescent="0.2">
      <c r="B275" s="396">
        <v>275</v>
      </c>
      <c r="C275" s="395" t="s">
        <v>556</v>
      </c>
      <c r="D275" s="394" t="s">
        <v>557</v>
      </c>
    </row>
    <row r="276" spans="2:4" x14ac:dyDescent="0.2">
      <c r="B276" s="396">
        <v>276</v>
      </c>
      <c r="C276" s="395" t="s">
        <v>558</v>
      </c>
      <c r="D276" s="394" t="s">
        <v>559</v>
      </c>
    </row>
    <row r="277" spans="2:4" x14ac:dyDescent="0.2">
      <c r="B277" s="396">
        <v>277</v>
      </c>
      <c r="C277" s="395" t="s">
        <v>305</v>
      </c>
      <c r="D277" s="394" t="s">
        <v>388</v>
      </c>
    </row>
    <row r="278" spans="2:4" x14ac:dyDescent="0.2">
      <c r="B278" s="396">
        <v>278</v>
      </c>
      <c r="C278" s="395" t="s">
        <v>560</v>
      </c>
      <c r="D278" s="394" t="s">
        <v>561</v>
      </c>
    </row>
    <row r="279" spans="2:4" x14ac:dyDescent="0.2">
      <c r="B279" s="396">
        <v>279</v>
      </c>
      <c r="C279" s="395" t="s">
        <v>562</v>
      </c>
      <c r="D279" s="394" t="s">
        <v>563</v>
      </c>
    </row>
    <row r="280" spans="2:4" x14ac:dyDescent="0.2">
      <c r="B280" s="396">
        <v>280</v>
      </c>
      <c r="C280" s="395" t="s">
        <v>564</v>
      </c>
      <c r="D280" s="394" t="s">
        <v>565</v>
      </c>
    </row>
    <row r="281" spans="2:4" x14ac:dyDescent="0.2">
      <c r="B281" s="396">
        <v>281</v>
      </c>
      <c r="C281" s="395" t="s">
        <v>566</v>
      </c>
      <c r="D281" s="394" t="s">
        <v>567</v>
      </c>
    </row>
    <row r="282" spans="2:4" x14ac:dyDescent="0.2">
      <c r="B282" s="396">
        <v>282</v>
      </c>
      <c r="C282" s="395" t="s">
        <v>568</v>
      </c>
      <c r="D282" s="394" t="s">
        <v>569</v>
      </c>
    </row>
    <row r="283" spans="2:4" x14ac:dyDescent="0.2">
      <c r="B283" s="396">
        <v>283</v>
      </c>
      <c r="C283" s="395" t="s">
        <v>324</v>
      </c>
      <c r="D283" s="394" t="s">
        <v>325</v>
      </c>
    </row>
    <row r="284" spans="2:4" x14ac:dyDescent="0.2">
      <c r="B284" s="396">
        <v>284</v>
      </c>
      <c r="C284" s="395" t="s">
        <v>60</v>
      </c>
      <c r="D284" s="394" t="s">
        <v>323</v>
      </c>
    </row>
    <row r="285" spans="2:4" x14ac:dyDescent="0.2">
      <c r="B285" s="396">
        <v>285</v>
      </c>
      <c r="C285" s="395" t="s">
        <v>570</v>
      </c>
      <c r="D285" s="399" t="s">
        <v>571</v>
      </c>
    </row>
    <row r="286" spans="2:4" x14ac:dyDescent="0.2">
      <c r="B286" s="396">
        <v>286</v>
      </c>
      <c r="C286" s="395" t="s">
        <v>572</v>
      </c>
      <c r="D286" s="394" t="s">
        <v>573</v>
      </c>
    </row>
    <row r="287" spans="2:4" x14ac:dyDescent="0.2">
      <c r="B287" s="396">
        <v>287</v>
      </c>
      <c r="C287" s="395" t="s">
        <v>574</v>
      </c>
      <c r="D287" s="394" t="s">
        <v>575</v>
      </c>
    </row>
    <row r="288" spans="2:4" x14ac:dyDescent="0.2">
      <c r="B288" s="396">
        <v>288</v>
      </c>
      <c r="C288" s="395" t="s">
        <v>576</v>
      </c>
      <c r="D288" s="394" t="s">
        <v>577</v>
      </c>
    </row>
    <row r="289" spans="2:4" x14ac:dyDescent="0.2">
      <c r="B289" s="396">
        <v>289</v>
      </c>
      <c r="C289" s="395" t="s">
        <v>578</v>
      </c>
      <c r="D289" s="394" t="s">
        <v>579</v>
      </c>
    </row>
    <row r="290" spans="2:4" x14ac:dyDescent="0.2">
      <c r="B290" s="396">
        <v>290</v>
      </c>
      <c r="C290" s="395" t="s">
        <v>580</v>
      </c>
      <c r="D290" s="394" t="s">
        <v>581</v>
      </c>
    </row>
    <row r="291" spans="2:4" x14ac:dyDescent="0.2">
      <c r="B291" s="396">
        <v>291</v>
      </c>
      <c r="C291" s="395" t="s">
        <v>576</v>
      </c>
      <c r="D291" s="394" t="s">
        <v>577</v>
      </c>
    </row>
    <row r="292" spans="2:4" x14ac:dyDescent="0.2">
      <c r="B292" s="396">
        <v>292</v>
      </c>
      <c r="C292" s="395" t="s">
        <v>582</v>
      </c>
      <c r="D292" s="394" t="s">
        <v>583</v>
      </c>
    </row>
    <row r="293" spans="2:4" x14ac:dyDescent="0.2">
      <c r="B293" s="396">
        <v>293</v>
      </c>
      <c r="C293" s="395" t="s">
        <v>584</v>
      </c>
      <c r="D293" s="394" t="s">
        <v>585</v>
      </c>
    </row>
    <row r="294" spans="2:4" x14ac:dyDescent="0.2">
      <c r="B294" s="396">
        <v>294</v>
      </c>
      <c r="C294" s="395" t="s">
        <v>131</v>
      </c>
      <c r="D294" s="394" t="s">
        <v>132</v>
      </c>
    </row>
    <row r="295" spans="2:4" x14ac:dyDescent="0.2">
      <c r="B295" s="396">
        <v>295</v>
      </c>
      <c r="C295" s="395" t="s">
        <v>586</v>
      </c>
      <c r="D295" s="394" t="s">
        <v>587</v>
      </c>
    </row>
    <row r="296" spans="2:4" x14ac:dyDescent="0.2">
      <c r="B296" s="396">
        <v>296</v>
      </c>
      <c r="C296" s="395" t="s">
        <v>588</v>
      </c>
      <c r="D296" s="394" t="s">
        <v>589</v>
      </c>
    </row>
    <row r="297" spans="2:4" x14ac:dyDescent="0.2">
      <c r="B297" s="396">
        <v>297</v>
      </c>
      <c r="C297" s="395" t="s">
        <v>590</v>
      </c>
      <c r="D297" s="394" t="s">
        <v>591</v>
      </c>
    </row>
    <row r="298" spans="2:4" x14ac:dyDescent="0.2">
      <c r="B298" s="396">
        <v>298</v>
      </c>
      <c r="C298" s="395" t="s">
        <v>592</v>
      </c>
      <c r="D298" s="394" t="s">
        <v>593</v>
      </c>
    </row>
    <row r="299" spans="2:4" x14ac:dyDescent="0.2">
      <c r="B299" s="396">
        <v>299</v>
      </c>
      <c r="C299" s="395" t="s">
        <v>594</v>
      </c>
      <c r="D299" s="394" t="s">
        <v>595</v>
      </c>
    </row>
    <row r="300" spans="2:4" x14ac:dyDescent="0.2">
      <c r="B300" s="396">
        <v>300</v>
      </c>
      <c r="C300" s="395" t="s">
        <v>596</v>
      </c>
      <c r="D300" s="394" t="s">
        <v>597</v>
      </c>
    </row>
    <row r="301" spans="2:4" x14ac:dyDescent="0.2">
      <c r="B301" s="396">
        <v>301</v>
      </c>
      <c r="C301" s="395" t="s">
        <v>598</v>
      </c>
      <c r="D301" s="394" t="s">
        <v>599</v>
      </c>
    </row>
    <row r="302" spans="2:4" x14ac:dyDescent="0.2">
      <c r="B302" s="396">
        <v>302</v>
      </c>
      <c r="C302" s="395" t="s">
        <v>600</v>
      </c>
      <c r="D302" s="394" t="s">
        <v>601</v>
      </c>
    </row>
    <row r="303" spans="2:4" x14ac:dyDescent="0.2">
      <c r="B303" s="396">
        <v>303</v>
      </c>
      <c r="C303" s="395" t="s">
        <v>602</v>
      </c>
      <c r="D303" s="394" t="s">
        <v>603</v>
      </c>
    </row>
    <row r="304" spans="2:4" x14ac:dyDescent="0.2">
      <c r="B304" s="396">
        <v>304</v>
      </c>
      <c r="C304" s="395" t="s">
        <v>604</v>
      </c>
      <c r="D304" s="394" t="s">
        <v>605</v>
      </c>
    </row>
    <row r="305" spans="2:4" x14ac:dyDescent="0.2">
      <c r="B305" s="396">
        <v>305</v>
      </c>
      <c r="C305" s="395" t="s">
        <v>606</v>
      </c>
      <c r="D305" s="394" t="s">
        <v>607</v>
      </c>
    </row>
    <row r="306" spans="2:4" x14ac:dyDescent="0.2">
      <c r="B306" s="396">
        <v>306</v>
      </c>
      <c r="C306" s="395" t="s">
        <v>608</v>
      </c>
      <c r="D306" s="394" t="s">
        <v>609</v>
      </c>
    </row>
    <row r="307" spans="2:4" x14ac:dyDescent="0.2">
      <c r="B307" s="396">
        <v>307</v>
      </c>
      <c r="C307" s="395" t="s">
        <v>610</v>
      </c>
      <c r="D307" s="394" t="s">
        <v>611</v>
      </c>
    </row>
    <row r="308" spans="2:4" x14ac:dyDescent="0.2">
      <c r="B308" s="396">
        <v>308</v>
      </c>
      <c r="C308" s="395" t="s">
        <v>612</v>
      </c>
      <c r="D308" s="394" t="s">
        <v>613</v>
      </c>
    </row>
    <row r="309" spans="2:4" x14ac:dyDescent="0.2">
      <c r="B309" s="396">
        <v>309</v>
      </c>
      <c r="C309" s="395" t="s">
        <v>439</v>
      </c>
      <c r="D309" s="394" t="s">
        <v>440</v>
      </c>
    </row>
    <row r="310" spans="2:4" x14ac:dyDescent="0.2">
      <c r="B310" s="396">
        <v>310</v>
      </c>
      <c r="C310" s="395" t="s">
        <v>438</v>
      </c>
      <c r="D310" s="394" t="s">
        <v>438</v>
      </c>
    </row>
    <row r="311" spans="2:4" x14ac:dyDescent="0.2">
      <c r="B311" s="396">
        <v>311</v>
      </c>
      <c r="C311" s="395" t="s">
        <v>614</v>
      </c>
      <c r="D311" s="394" t="s">
        <v>615</v>
      </c>
    </row>
    <row r="312" spans="2:4" x14ac:dyDescent="0.2">
      <c r="B312" s="396">
        <v>312</v>
      </c>
      <c r="C312" s="395" t="s">
        <v>616</v>
      </c>
      <c r="D312" s="394" t="s">
        <v>617</v>
      </c>
    </row>
    <row r="313" spans="2:4" x14ac:dyDescent="0.2">
      <c r="B313" s="396">
        <v>313</v>
      </c>
      <c r="C313" s="395" t="s">
        <v>25</v>
      </c>
      <c r="D313" s="394" t="s">
        <v>618</v>
      </c>
    </row>
    <row r="314" spans="2:4" x14ac:dyDescent="0.2">
      <c r="B314" s="396">
        <v>314</v>
      </c>
      <c r="C314" s="395" t="s">
        <v>26</v>
      </c>
      <c r="D314" s="394" t="s">
        <v>619</v>
      </c>
    </row>
    <row r="315" spans="2:4" x14ac:dyDescent="0.2">
      <c r="B315" s="396">
        <v>315</v>
      </c>
      <c r="C315" s="395" t="s">
        <v>614</v>
      </c>
      <c r="D315" s="394" t="s">
        <v>615</v>
      </c>
    </row>
    <row r="316" spans="2:4" x14ac:dyDescent="0.2">
      <c r="B316" s="396">
        <v>316</v>
      </c>
      <c r="C316" s="395" t="s">
        <v>616</v>
      </c>
      <c r="D316" s="394" t="s">
        <v>617</v>
      </c>
    </row>
    <row r="317" spans="2:4" x14ac:dyDescent="0.2">
      <c r="B317" s="396">
        <v>317</v>
      </c>
      <c r="C317" s="395" t="s">
        <v>620</v>
      </c>
      <c r="D317" s="394" t="s">
        <v>621</v>
      </c>
    </row>
    <row r="318" spans="2:4" x14ac:dyDescent="0.2">
      <c r="B318" s="396">
        <v>318</v>
      </c>
      <c r="C318" s="395" t="s">
        <v>622</v>
      </c>
      <c r="D318" s="394" t="s">
        <v>623</v>
      </c>
    </row>
    <row r="319" spans="2:4" x14ac:dyDescent="0.2">
      <c r="B319" s="396">
        <v>319</v>
      </c>
      <c r="C319" s="395" t="s">
        <v>624</v>
      </c>
      <c r="D319" s="394" t="s">
        <v>625</v>
      </c>
    </row>
    <row r="320" spans="2:4" x14ac:dyDescent="0.2">
      <c r="B320" s="396">
        <v>320</v>
      </c>
      <c r="C320" s="395" t="s">
        <v>612</v>
      </c>
      <c r="D320" s="394" t="s">
        <v>626</v>
      </c>
    </row>
    <row r="321" spans="2:5" x14ac:dyDescent="0.2">
      <c r="B321" s="396">
        <v>321</v>
      </c>
      <c r="C321" s="395" t="s">
        <v>627</v>
      </c>
      <c r="D321" s="394" t="s">
        <v>628</v>
      </c>
    </row>
    <row r="322" spans="2:5" x14ac:dyDescent="0.2">
      <c r="B322" s="396">
        <v>322</v>
      </c>
      <c r="C322" s="395" t="s">
        <v>629</v>
      </c>
      <c r="D322" s="399" t="s">
        <v>630</v>
      </c>
    </row>
    <row r="323" spans="2:5" x14ac:dyDescent="0.2">
      <c r="B323" s="396">
        <v>323</v>
      </c>
      <c r="C323" s="395" t="s">
        <v>631</v>
      </c>
      <c r="D323" s="394" t="s">
        <v>632</v>
      </c>
    </row>
    <row r="324" spans="2:5" x14ac:dyDescent="0.2">
      <c r="B324" s="396">
        <v>324</v>
      </c>
      <c r="C324" s="395" t="s">
        <v>633</v>
      </c>
      <c r="D324" s="394" t="s">
        <v>634</v>
      </c>
    </row>
    <row r="325" spans="2:5" x14ac:dyDescent="0.2">
      <c r="B325" s="396">
        <v>325</v>
      </c>
      <c r="C325" s="395" t="s">
        <v>635</v>
      </c>
      <c r="D325" s="394" t="s">
        <v>636</v>
      </c>
    </row>
    <row r="326" spans="2:5" x14ac:dyDescent="0.2">
      <c r="B326" s="396">
        <v>326</v>
      </c>
      <c r="C326" s="395" t="s">
        <v>637</v>
      </c>
      <c r="D326" s="394" t="s">
        <v>638</v>
      </c>
    </row>
    <row r="327" spans="2:5" x14ac:dyDescent="0.2">
      <c r="B327" s="396">
        <v>327</v>
      </c>
      <c r="C327" s="395" t="s">
        <v>606</v>
      </c>
      <c r="D327" s="394" t="s">
        <v>639</v>
      </c>
    </row>
    <row r="328" spans="2:5" x14ac:dyDescent="0.2">
      <c r="B328" s="396">
        <v>328</v>
      </c>
      <c r="C328" s="395" t="s">
        <v>608</v>
      </c>
      <c r="D328" s="394" t="s">
        <v>609</v>
      </c>
    </row>
    <row r="329" spans="2:5" x14ac:dyDescent="0.2">
      <c r="B329" s="396">
        <v>329</v>
      </c>
      <c r="C329" s="395" t="s">
        <v>610</v>
      </c>
      <c r="D329" s="394" t="s">
        <v>611</v>
      </c>
    </row>
    <row r="330" spans="2:5" ht="14.25" x14ac:dyDescent="0.25">
      <c r="B330" s="396">
        <v>330</v>
      </c>
      <c r="C330" s="395" t="s">
        <v>640</v>
      </c>
      <c r="D330" s="394" t="s">
        <v>641</v>
      </c>
      <c r="E330" s="397" t="s">
        <v>642</v>
      </c>
    </row>
    <row r="331" spans="2:5" ht="14.25" x14ac:dyDescent="0.25">
      <c r="B331" s="396">
        <v>331</v>
      </c>
      <c r="C331" s="395" t="s">
        <v>643</v>
      </c>
      <c r="D331" s="394" t="s">
        <v>644</v>
      </c>
      <c r="E331" s="397" t="s">
        <v>645</v>
      </c>
    </row>
    <row r="332" spans="2:5" x14ac:dyDescent="0.2">
      <c r="B332" s="396">
        <v>332</v>
      </c>
      <c r="C332" s="395" t="s">
        <v>646</v>
      </c>
      <c r="D332" s="394" t="s">
        <v>647</v>
      </c>
      <c r="E332" s="394" t="s">
        <v>648</v>
      </c>
    </row>
    <row r="333" spans="2:5" x14ac:dyDescent="0.2">
      <c r="B333" s="396">
        <v>333</v>
      </c>
      <c r="C333" s="395" t="s">
        <v>649</v>
      </c>
      <c r="D333" s="394" t="s">
        <v>650</v>
      </c>
      <c r="E333" s="394" t="s">
        <v>651</v>
      </c>
    </row>
    <row r="334" spans="2:5" x14ac:dyDescent="0.2">
      <c r="B334" s="396">
        <v>334</v>
      </c>
      <c r="C334" s="395" t="s">
        <v>652</v>
      </c>
      <c r="D334" s="394" t="s">
        <v>653</v>
      </c>
      <c r="E334" s="394" t="s">
        <v>654</v>
      </c>
    </row>
    <row r="335" spans="2:5" x14ac:dyDescent="0.2">
      <c r="B335" s="396">
        <v>335</v>
      </c>
      <c r="C335" s="395" t="s">
        <v>655</v>
      </c>
      <c r="D335" s="394" t="s">
        <v>656</v>
      </c>
      <c r="E335" s="394" t="s">
        <v>657</v>
      </c>
    </row>
    <row r="336" spans="2:5" x14ac:dyDescent="0.2">
      <c r="B336" s="396">
        <v>336</v>
      </c>
      <c r="C336" s="395" t="s">
        <v>658</v>
      </c>
      <c r="D336" s="394" t="s">
        <v>659</v>
      </c>
    </row>
    <row r="337" spans="2:5" x14ac:dyDescent="0.2">
      <c r="B337" s="396">
        <v>337</v>
      </c>
      <c r="C337" s="395" t="s">
        <v>660</v>
      </c>
      <c r="D337" s="394" t="s">
        <v>661</v>
      </c>
    </row>
    <row r="338" spans="2:5" x14ac:dyDescent="0.2">
      <c r="B338" s="396">
        <v>338</v>
      </c>
      <c r="C338" s="395" t="s">
        <v>662</v>
      </c>
      <c r="D338" s="394" t="s">
        <v>639</v>
      </c>
    </row>
    <row r="339" spans="2:5" x14ac:dyDescent="0.2">
      <c r="B339" s="396">
        <v>339</v>
      </c>
      <c r="C339" s="395" t="s">
        <v>663</v>
      </c>
      <c r="D339" s="394" t="s">
        <v>664</v>
      </c>
    </row>
    <row r="340" spans="2:5" x14ac:dyDescent="0.2">
      <c r="B340" s="396">
        <v>340</v>
      </c>
      <c r="C340" s="395" t="s">
        <v>665</v>
      </c>
      <c r="D340" s="394" t="s">
        <v>666</v>
      </c>
    </row>
    <row r="341" spans="2:5" x14ac:dyDescent="0.2">
      <c r="B341" s="396">
        <v>341</v>
      </c>
      <c r="C341" s="395" t="s">
        <v>667</v>
      </c>
      <c r="D341" s="394" t="s">
        <v>647</v>
      </c>
      <c r="E341" s="394" t="s">
        <v>668</v>
      </c>
    </row>
    <row r="342" spans="2:5" x14ac:dyDescent="0.2">
      <c r="B342" s="396">
        <v>342</v>
      </c>
      <c r="C342" s="395" t="s">
        <v>439</v>
      </c>
      <c r="D342" s="394" t="s">
        <v>669</v>
      </c>
      <c r="E342" s="394" t="s">
        <v>670</v>
      </c>
    </row>
    <row r="343" spans="2:5" x14ac:dyDescent="0.2">
      <c r="B343" s="396">
        <v>343</v>
      </c>
      <c r="C343" s="395" t="s">
        <v>438</v>
      </c>
      <c r="D343" s="394" t="s">
        <v>438</v>
      </c>
    </row>
    <row r="344" spans="2:5" x14ac:dyDescent="0.2">
      <c r="B344" s="396">
        <v>344</v>
      </c>
      <c r="C344" s="395" t="s">
        <v>262</v>
      </c>
      <c r="D344" s="394" t="s">
        <v>263</v>
      </c>
      <c r="E344" s="394" t="s">
        <v>671</v>
      </c>
    </row>
    <row r="345" spans="2:5" x14ac:dyDescent="0.2">
      <c r="B345" s="396">
        <v>345</v>
      </c>
      <c r="C345" s="395" t="s">
        <v>672</v>
      </c>
      <c r="D345" s="394" t="s">
        <v>673</v>
      </c>
      <c r="E345" s="394" t="s">
        <v>674</v>
      </c>
    </row>
    <row r="346" spans="2:5" x14ac:dyDescent="0.2">
      <c r="B346" s="396">
        <v>346</v>
      </c>
      <c r="C346" s="395" t="s">
        <v>675</v>
      </c>
      <c r="D346" s="394" t="s">
        <v>676</v>
      </c>
    </row>
    <row r="347" spans="2:5" x14ac:dyDescent="0.2">
      <c r="B347" s="396">
        <v>347</v>
      </c>
      <c r="C347" s="395" t="s">
        <v>677</v>
      </c>
      <c r="D347" s="394" t="s">
        <v>678</v>
      </c>
    </row>
    <row r="348" spans="2:5" x14ac:dyDescent="0.2">
      <c r="B348" s="396">
        <v>348</v>
      </c>
      <c r="C348" s="395" t="s">
        <v>25</v>
      </c>
      <c r="D348" s="394" t="s">
        <v>618</v>
      </c>
    </row>
    <row r="349" spans="2:5" x14ac:dyDescent="0.2">
      <c r="B349" s="396">
        <v>349</v>
      </c>
      <c r="C349" s="395" t="s">
        <v>26</v>
      </c>
      <c r="D349" s="394" t="s">
        <v>619</v>
      </c>
    </row>
    <row r="350" spans="2:5" x14ac:dyDescent="0.2">
      <c r="B350" s="396">
        <v>350</v>
      </c>
      <c r="C350" s="395" t="s">
        <v>262</v>
      </c>
      <c r="D350" s="394" t="s">
        <v>263</v>
      </c>
    </row>
    <row r="351" spans="2:5" x14ac:dyDescent="0.2">
      <c r="B351" s="396">
        <v>351</v>
      </c>
      <c r="C351" s="395" t="s">
        <v>672</v>
      </c>
      <c r="D351" s="394" t="s">
        <v>673</v>
      </c>
    </row>
    <row r="352" spans="2:5" x14ac:dyDescent="0.2">
      <c r="B352" s="396">
        <v>352</v>
      </c>
      <c r="C352" s="395" t="s">
        <v>675</v>
      </c>
      <c r="D352" s="394" t="s">
        <v>676</v>
      </c>
    </row>
    <row r="353" spans="2:4" x14ac:dyDescent="0.2">
      <c r="B353" s="396">
        <v>353</v>
      </c>
      <c r="C353" s="395" t="s">
        <v>679</v>
      </c>
      <c r="D353" s="394" t="s">
        <v>680</v>
      </c>
    </row>
    <row r="354" spans="2:4" x14ac:dyDescent="0.2">
      <c r="B354" s="396">
        <v>354</v>
      </c>
      <c r="C354" s="395" t="s">
        <v>681</v>
      </c>
      <c r="D354" s="394" t="s">
        <v>682</v>
      </c>
    </row>
    <row r="355" spans="2:4" x14ac:dyDescent="0.2">
      <c r="B355" s="396">
        <v>355</v>
      </c>
      <c r="C355" s="395" t="s">
        <v>683</v>
      </c>
      <c r="D355" s="394" t="s">
        <v>684</v>
      </c>
    </row>
    <row r="356" spans="2:4" x14ac:dyDescent="0.2">
      <c r="B356" s="396">
        <v>356</v>
      </c>
      <c r="C356" s="395" t="s">
        <v>685</v>
      </c>
      <c r="D356" s="394" t="s">
        <v>686</v>
      </c>
    </row>
    <row r="357" spans="2:4" x14ac:dyDescent="0.2">
      <c r="B357" s="396">
        <v>357</v>
      </c>
      <c r="C357" s="395" t="s">
        <v>687</v>
      </c>
      <c r="D357" s="394" t="s">
        <v>688</v>
      </c>
    </row>
    <row r="358" spans="2:4" x14ac:dyDescent="0.2">
      <c r="B358" s="396">
        <v>358</v>
      </c>
      <c r="C358" s="395" t="s">
        <v>689</v>
      </c>
      <c r="D358" s="394" t="s">
        <v>690</v>
      </c>
    </row>
    <row r="359" spans="2:4" x14ac:dyDescent="0.2">
      <c r="B359" s="396">
        <v>359</v>
      </c>
      <c r="C359" s="395" t="s">
        <v>691</v>
      </c>
      <c r="D359" s="394" t="s">
        <v>692</v>
      </c>
    </row>
    <row r="360" spans="2:4" x14ac:dyDescent="0.2">
      <c r="B360" s="396">
        <v>360</v>
      </c>
      <c r="C360" s="395" t="s">
        <v>693</v>
      </c>
      <c r="D360" s="394" t="s">
        <v>694</v>
      </c>
    </row>
    <row r="361" spans="2:4" x14ac:dyDescent="0.2">
      <c r="B361" s="396">
        <v>361</v>
      </c>
      <c r="C361" s="395" t="s">
        <v>695</v>
      </c>
      <c r="D361" s="394" t="s">
        <v>696</v>
      </c>
    </row>
    <row r="362" spans="2:4" x14ac:dyDescent="0.2">
      <c r="B362" s="396">
        <v>362</v>
      </c>
      <c r="C362" s="395" t="s">
        <v>697</v>
      </c>
      <c r="D362" s="394" t="s">
        <v>698</v>
      </c>
    </row>
    <row r="363" spans="2:4" x14ac:dyDescent="0.2">
      <c r="B363" s="396">
        <v>363</v>
      </c>
      <c r="C363" s="395" t="s">
        <v>699</v>
      </c>
      <c r="D363" s="394" t="s">
        <v>700</v>
      </c>
    </row>
    <row r="364" spans="2:4" x14ac:dyDescent="0.2">
      <c r="B364" s="396">
        <v>364</v>
      </c>
      <c r="C364" s="395" t="s">
        <v>701</v>
      </c>
      <c r="D364" s="394" t="s">
        <v>702</v>
      </c>
    </row>
    <row r="365" spans="2:4" x14ac:dyDescent="0.2">
      <c r="B365" s="396">
        <v>365</v>
      </c>
      <c r="C365" s="395" t="s">
        <v>703</v>
      </c>
      <c r="D365" s="394" t="s">
        <v>704</v>
      </c>
    </row>
    <row r="366" spans="2:4" x14ac:dyDescent="0.2">
      <c r="B366" s="396">
        <v>366</v>
      </c>
      <c r="C366" s="395" t="s">
        <v>705</v>
      </c>
      <c r="D366" s="394" t="s">
        <v>706</v>
      </c>
    </row>
    <row r="367" spans="2:4" x14ac:dyDescent="0.2">
      <c r="B367" s="396">
        <v>367</v>
      </c>
      <c r="C367" s="395" t="s">
        <v>707</v>
      </c>
      <c r="D367" s="394" t="s">
        <v>708</v>
      </c>
    </row>
    <row r="368" spans="2:4" x14ac:dyDescent="0.2">
      <c r="B368" s="396">
        <v>368</v>
      </c>
      <c r="C368" s="395" t="s">
        <v>709</v>
      </c>
      <c r="D368" s="394" t="s">
        <v>710</v>
      </c>
    </row>
    <row r="369" spans="2:5" x14ac:dyDescent="0.2">
      <c r="B369" s="396">
        <v>369</v>
      </c>
      <c r="C369" s="395" t="s">
        <v>711</v>
      </c>
      <c r="D369" s="394" t="s">
        <v>682</v>
      </c>
    </row>
    <row r="370" spans="2:5" x14ac:dyDescent="0.2">
      <c r="B370" s="396">
        <v>370</v>
      </c>
      <c r="C370" s="395" t="s">
        <v>712</v>
      </c>
      <c r="D370" s="394" t="s">
        <v>713</v>
      </c>
    </row>
    <row r="371" spans="2:5" x14ac:dyDescent="0.2">
      <c r="B371" s="396">
        <v>371</v>
      </c>
      <c r="C371" s="395" t="s">
        <v>540</v>
      </c>
      <c r="D371" s="394" t="s">
        <v>541</v>
      </c>
    </row>
    <row r="372" spans="2:5" x14ac:dyDescent="0.2">
      <c r="B372" s="396">
        <v>372</v>
      </c>
      <c r="C372" s="395" t="s">
        <v>542</v>
      </c>
      <c r="D372" s="394" t="s">
        <v>543</v>
      </c>
    </row>
    <row r="373" spans="2:5" x14ac:dyDescent="0.2">
      <c r="B373" s="396">
        <v>373</v>
      </c>
      <c r="C373" s="395" t="s">
        <v>545</v>
      </c>
      <c r="D373" s="394" t="s">
        <v>546</v>
      </c>
    </row>
    <row r="374" spans="2:5" x14ac:dyDescent="0.2">
      <c r="B374" s="396">
        <v>374</v>
      </c>
      <c r="C374" s="395" t="s">
        <v>548</v>
      </c>
      <c r="D374" s="394" t="s">
        <v>549</v>
      </c>
    </row>
    <row r="375" spans="2:5" x14ac:dyDescent="0.2">
      <c r="B375" s="396">
        <v>375</v>
      </c>
      <c r="C375" s="395" t="s">
        <v>552</v>
      </c>
      <c r="D375" s="394" t="s">
        <v>553</v>
      </c>
    </row>
    <row r="376" spans="2:5" x14ac:dyDescent="0.2">
      <c r="B376" s="396">
        <v>376</v>
      </c>
      <c r="C376" s="395" t="s">
        <v>554</v>
      </c>
      <c r="D376" s="394" t="s">
        <v>555</v>
      </c>
    </row>
    <row r="377" spans="2:5" x14ac:dyDescent="0.2">
      <c r="B377" s="396">
        <v>377</v>
      </c>
      <c r="C377" s="395" t="s">
        <v>556</v>
      </c>
      <c r="D377" s="394" t="s">
        <v>557</v>
      </c>
      <c r="E377" s="394" t="s">
        <v>714</v>
      </c>
    </row>
    <row r="378" spans="2:5" x14ac:dyDescent="0.2">
      <c r="B378" s="396">
        <v>378</v>
      </c>
      <c r="C378" s="395" t="s">
        <v>715</v>
      </c>
      <c r="D378" s="394" t="s">
        <v>716</v>
      </c>
      <c r="E378" s="394" t="s">
        <v>717</v>
      </c>
    </row>
    <row r="379" spans="2:5" x14ac:dyDescent="0.2">
      <c r="B379" s="396">
        <v>379</v>
      </c>
      <c r="C379" s="395" t="s">
        <v>718</v>
      </c>
      <c r="D379" s="394" t="s">
        <v>719</v>
      </c>
    </row>
    <row r="380" spans="2:5" x14ac:dyDescent="0.2">
      <c r="B380" s="396">
        <v>380</v>
      </c>
      <c r="C380" s="395" t="s">
        <v>720</v>
      </c>
      <c r="D380" s="394" t="s">
        <v>721</v>
      </c>
      <c r="E380" s="394" t="s">
        <v>722</v>
      </c>
    </row>
    <row r="381" spans="2:5" x14ac:dyDescent="0.2">
      <c r="B381" s="396">
        <v>381</v>
      </c>
      <c r="C381" s="395" t="s">
        <v>723</v>
      </c>
      <c r="D381" s="394" t="s">
        <v>724</v>
      </c>
      <c r="E381" s="394" t="s">
        <v>725</v>
      </c>
    </row>
    <row r="382" spans="2:5" x14ac:dyDescent="0.2">
      <c r="B382" s="396">
        <v>382</v>
      </c>
      <c r="C382" s="395" t="s">
        <v>726</v>
      </c>
      <c r="D382" s="394" t="s">
        <v>727</v>
      </c>
    </row>
    <row r="383" spans="2:5" x14ac:dyDescent="0.2">
      <c r="B383" s="396">
        <v>383</v>
      </c>
      <c r="C383" s="395" t="s">
        <v>728</v>
      </c>
      <c r="D383" s="394" t="s">
        <v>729</v>
      </c>
      <c r="E383" s="394" t="s">
        <v>730</v>
      </c>
    </row>
    <row r="384" spans="2:5" x14ac:dyDescent="0.2">
      <c r="B384" s="396">
        <v>384</v>
      </c>
      <c r="C384" s="395" t="s">
        <v>731</v>
      </c>
      <c r="D384" s="394" t="s">
        <v>732</v>
      </c>
      <c r="E384" s="394" t="s">
        <v>733</v>
      </c>
    </row>
    <row r="385" spans="2:5" x14ac:dyDescent="0.2">
      <c r="B385" s="396">
        <v>385</v>
      </c>
      <c r="C385" s="395" t="s">
        <v>734</v>
      </c>
      <c r="D385" s="394" t="s">
        <v>735</v>
      </c>
    </row>
    <row r="386" spans="2:5" x14ac:dyDescent="0.2">
      <c r="B386" s="396">
        <v>386</v>
      </c>
      <c r="C386" s="395" t="s">
        <v>736</v>
      </c>
      <c r="D386" s="394" t="s">
        <v>737</v>
      </c>
      <c r="E386" s="394" t="s">
        <v>738</v>
      </c>
    </row>
    <row r="387" spans="2:5" x14ac:dyDescent="0.2">
      <c r="B387" s="396">
        <v>387</v>
      </c>
      <c r="C387" s="395" t="s">
        <v>739</v>
      </c>
      <c r="D387" s="394" t="s">
        <v>740</v>
      </c>
      <c r="E387" s="394" t="s">
        <v>741</v>
      </c>
    </row>
    <row r="388" spans="2:5" x14ac:dyDescent="0.2">
      <c r="B388" s="396">
        <v>388</v>
      </c>
      <c r="C388" s="395" t="s">
        <v>376</v>
      </c>
      <c r="D388" s="394" t="s">
        <v>377</v>
      </c>
    </row>
    <row r="389" spans="2:5" x14ac:dyDescent="0.2">
      <c r="B389" s="396">
        <v>389</v>
      </c>
      <c r="C389" s="395" t="s">
        <v>527</v>
      </c>
      <c r="D389" s="394" t="s">
        <v>742</v>
      </c>
      <c r="E389" s="394" t="s">
        <v>743</v>
      </c>
    </row>
    <row r="390" spans="2:5" x14ac:dyDescent="0.2">
      <c r="B390" s="396">
        <v>390</v>
      </c>
      <c r="C390" s="395" t="s">
        <v>744</v>
      </c>
      <c r="D390" s="394" t="s">
        <v>745</v>
      </c>
      <c r="E390" s="394" t="s">
        <v>746</v>
      </c>
    </row>
    <row r="391" spans="2:5" x14ac:dyDescent="0.2">
      <c r="B391" s="396">
        <v>391</v>
      </c>
      <c r="C391" s="395" t="s">
        <v>185</v>
      </c>
      <c r="D391" s="394" t="s">
        <v>186</v>
      </c>
    </row>
    <row r="392" spans="2:5" x14ac:dyDescent="0.2">
      <c r="B392" s="396">
        <v>392</v>
      </c>
      <c r="C392" s="398" t="s">
        <v>747</v>
      </c>
      <c r="D392" s="394" t="s">
        <v>748</v>
      </c>
    </row>
    <row r="393" spans="2:5" x14ac:dyDescent="0.2">
      <c r="B393" s="396">
        <v>393</v>
      </c>
      <c r="C393" s="395" t="s">
        <v>749</v>
      </c>
      <c r="D393" s="394" t="s">
        <v>750</v>
      </c>
    </row>
    <row r="394" spans="2:5" x14ac:dyDescent="0.2">
      <c r="B394" s="396">
        <v>394</v>
      </c>
      <c r="C394" s="395" t="s">
        <v>305</v>
      </c>
      <c r="D394" s="394" t="s">
        <v>388</v>
      </c>
    </row>
    <row r="395" spans="2:5" x14ac:dyDescent="0.2">
      <c r="B395" s="396">
        <v>395</v>
      </c>
      <c r="C395" s="395" t="s">
        <v>751</v>
      </c>
      <c r="D395" s="394" t="s">
        <v>752</v>
      </c>
    </row>
    <row r="396" spans="2:5" x14ac:dyDescent="0.2">
      <c r="B396" s="396">
        <v>396</v>
      </c>
      <c r="C396" s="395" t="s">
        <v>753</v>
      </c>
      <c r="D396" s="394" t="s">
        <v>754</v>
      </c>
    </row>
    <row r="397" spans="2:5" x14ac:dyDescent="0.2">
      <c r="B397" s="396">
        <v>397</v>
      </c>
      <c r="C397" s="395" t="s">
        <v>755</v>
      </c>
      <c r="D397" s="394" t="s">
        <v>756</v>
      </c>
    </row>
    <row r="398" spans="2:5" x14ac:dyDescent="0.2">
      <c r="B398" s="396">
        <v>398</v>
      </c>
      <c r="C398" s="395" t="s">
        <v>757</v>
      </c>
      <c r="D398" s="394" t="s">
        <v>758</v>
      </c>
    </row>
    <row r="399" spans="2:5" x14ac:dyDescent="0.2">
      <c r="B399" s="396">
        <v>399</v>
      </c>
      <c r="C399" s="395" t="s">
        <v>759</v>
      </c>
      <c r="D399" s="394" t="s">
        <v>760</v>
      </c>
    </row>
    <row r="400" spans="2:5" x14ac:dyDescent="0.2">
      <c r="B400" s="396">
        <v>400</v>
      </c>
      <c r="C400" s="395" t="s">
        <v>761</v>
      </c>
      <c r="D400" s="394" t="s">
        <v>762</v>
      </c>
    </row>
    <row r="401" spans="2:5" x14ac:dyDescent="0.2">
      <c r="B401" s="396">
        <v>401</v>
      </c>
      <c r="C401" s="395" t="s">
        <v>60</v>
      </c>
      <c r="D401" s="394" t="s">
        <v>323</v>
      </c>
    </row>
    <row r="402" spans="2:5" x14ac:dyDescent="0.2">
      <c r="B402" s="396">
        <v>402</v>
      </c>
      <c r="C402" s="395" t="s">
        <v>324</v>
      </c>
      <c r="D402" s="394" t="s">
        <v>325</v>
      </c>
      <c r="E402" s="394" t="s">
        <v>763</v>
      </c>
    </row>
    <row r="403" spans="2:5" x14ac:dyDescent="0.2">
      <c r="B403" s="396">
        <v>403</v>
      </c>
      <c r="C403" s="395" t="s">
        <v>764</v>
      </c>
      <c r="D403" s="394" t="s">
        <v>765</v>
      </c>
      <c r="E403" s="394" t="s">
        <v>766</v>
      </c>
    </row>
    <row r="404" spans="2:5" x14ac:dyDescent="0.2">
      <c r="B404" s="396">
        <v>404</v>
      </c>
      <c r="C404" s="395" t="s">
        <v>761</v>
      </c>
      <c r="D404" s="394" t="s">
        <v>762</v>
      </c>
    </row>
    <row r="405" spans="2:5" x14ac:dyDescent="0.2">
      <c r="B405" s="396">
        <v>405</v>
      </c>
      <c r="C405" s="395" t="s">
        <v>330</v>
      </c>
      <c r="D405" s="394" t="s">
        <v>331</v>
      </c>
    </row>
    <row r="406" spans="2:5" x14ac:dyDescent="0.2">
      <c r="B406" s="396">
        <v>406</v>
      </c>
      <c r="C406" s="395" t="s">
        <v>332</v>
      </c>
      <c r="D406" s="394" t="s">
        <v>333</v>
      </c>
    </row>
    <row r="407" spans="2:5" x14ac:dyDescent="0.2">
      <c r="B407" s="396">
        <v>407</v>
      </c>
      <c r="C407" s="395" t="s">
        <v>767</v>
      </c>
      <c r="D407" s="394" t="s">
        <v>768</v>
      </c>
    </row>
    <row r="408" spans="2:5" x14ac:dyDescent="0.2">
      <c r="B408" s="396">
        <v>408</v>
      </c>
      <c r="C408" s="395" t="s">
        <v>185</v>
      </c>
      <c r="D408" s="394" t="s">
        <v>186</v>
      </c>
    </row>
    <row r="409" spans="2:5" x14ac:dyDescent="0.2">
      <c r="B409" s="396">
        <v>409</v>
      </c>
      <c r="C409" s="398" t="s">
        <v>769</v>
      </c>
      <c r="D409" s="394" t="s">
        <v>770</v>
      </c>
    </row>
    <row r="410" spans="2:5" x14ac:dyDescent="0.2">
      <c r="B410" s="396">
        <v>410</v>
      </c>
      <c r="C410" s="395" t="s">
        <v>305</v>
      </c>
      <c r="D410" s="394" t="s">
        <v>388</v>
      </c>
    </row>
    <row r="411" spans="2:5" x14ac:dyDescent="0.2">
      <c r="B411" s="396">
        <v>411</v>
      </c>
      <c r="C411" s="395" t="s">
        <v>771</v>
      </c>
      <c r="D411" s="394" t="s">
        <v>772</v>
      </c>
    </row>
    <row r="412" spans="2:5" x14ac:dyDescent="0.2">
      <c r="B412" s="396">
        <v>412</v>
      </c>
      <c r="C412" s="395" t="s">
        <v>773</v>
      </c>
      <c r="D412" s="394" t="s">
        <v>774</v>
      </c>
    </row>
    <row r="413" spans="2:5" x14ac:dyDescent="0.2">
      <c r="B413" s="396">
        <v>413</v>
      </c>
      <c r="C413" s="395" t="s">
        <v>775</v>
      </c>
      <c r="D413" s="394" t="s">
        <v>776</v>
      </c>
    </row>
    <row r="414" spans="2:5" x14ac:dyDescent="0.2">
      <c r="B414" s="396">
        <v>414</v>
      </c>
      <c r="C414" s="395" t="s">
        <v>777</v>
      </c>
      <c r="D414" s="394" t="s">
        <v>778</v>
      </c>
      <c r="E414" s="394" t="s">
        <v>779</v>
      </c>
    </row>
    <row r="415" spans="2:5" x14ac:dyDescent="0.2">
      <c r="B415" s="396">
        <v>415</v>
      </c>
      <c r="C415" s="395" t="s">
        <v>60</v>
      </c>
      <c r="D415" s="394" t="s">
        <v>323</v>
      </c>
      <c r="E415" s="394" t="s">
        <v>780</v>
      </c>
    </row>
    <row r="416" spans="2:5" x14ac:dyDescent="0.2">
      <c r="B416" s="396">
        <v>416</v>
      </c>
      <c r="C416" s="395" t="s">
        <v>324</v>
      </c>
      <c r="D416" s="394" t="s">
        <v>325</v>
      </c>
    </row>
    <row r="417" spans="2:5" x14ac:dyDescent="0.2">
      <c r="B417" s="396">
        <v>417</v>
      </c>
      <c r="C417" s="395" t="s">
        <v>781</v>
      </c>
      <c r="D417" s="394" t="s">
        <v>782</v>
      </c>
      <c r="E417" s="394" t="s">
        <v>783</v>
      </c>
    </row>
    <row r="418" spans="2:5" x14ac:dyDescent="0.2">
      <c r="B418" s="396">
        <v>418</v>
      </c>
      <c r="C418" s="395" t="s">
        <v>784</v>
      </c>
      <c r="D418" s="394" t="s">
        <v>785</v>
      </c>
      <c r="E418" s="394" t="s">
        <v>786</v>
      </c>
    </row>
    <row r="419" spans="2:5" x14ac:dyDescent="0.2">
      <c r="B419" s="396">
        <v>419</v>
      </c>
      <c r="C419" s="395" t="s">
        <v>330</v>
      </c>
      <c r="D419" s="394" t="s">
        <v>331</v>
      </c>
    </row>
    <row r="420" spans="2:5" x14ac:dyDescent="0.2">
      <c r="B420" s="396">
        <v>420</v>
      </c>
      <c r="C420" s="395" t="s">
        <v>332</v>
      </c>
      <c r="D420" s="394" t="s">
        <v>333</v>
      </c>
      <c r="E420" s="394" t="s">
        <v>787</v>
      </c>
    </row>
    <row r="421" spans="2:5" x14ac:dyDescent="0.2">
      <c r="B421" s="396">
        <v>421</v>
      </c>
      <c r="C421" s="395" t="s">
        <v>767</v>
      </c>
      <c r="D421" s="394" t="s">
        <v>768</v>
      </c>
      <c r="E421" s="394" t="s">
        <v>788</v>
      </c>
    </row>
    <row r="422" spans="2:5" x14ac:dyDescent="0.2">
      <c r="B422" s="396">
        <v>422</v>
      </c>
      <c r="C422" s="395" t="s">
        <v>408</v>
      </c>
      <c r="D422" s="394" t="s">
        <v>409</v>
      </c>
    </row>
    <row r="423" spans="2:5" x14ac:dyDescent="0.2">
      <c r="B423" s="396">
        <v>423</v>
      </c>
      <c r="C423" s="395" t="s">
        <v>185</v>
      </c>
      <c r="D423" s="394" t="s">
        <v>186</v>
      </c>
      <c r="E423" s="394" t="s">
        <v>789</v>
      </c>
    </row>
    <row r="424" spans="2:5" x14ac:dyDescent="0.2">
      <c r="B424" s="396">
        <v>424</v>
      </c>
      <c r="C424" s="398" t="s">
        <v>790</v>
      </c>
      <c r="D424" s="394" t="s">
        <v>791</v>
      </c>
      <c r="E424" s="394" t="s">
        <v>792</v>
      </c>
    </row>
    <row r="425" spans="2:5" x14ac:dyDescent="0.2">
      <c r="B425" s="396">
        <v>425</v>
      </c>
      <c r="C425" s="395" t="s">
        <v>305</v>
      </c>
      <c r="D425" s="394" t="s">
        <v>388</v>
      </c>
    </row>
    <row r="426" spans="2:5" x14ac:dyDescent="0.2">
      <c r="B426" s="396">
        <v>426</v>
      </c>
      <c r="C426" s="395" t="s">
        <v>793</v>
      </c>
      <c r="D426" s="394" t="s">
        <v>794</v>
      </c>
    </row>
    <row r="427" spans="2:5" x14ac:dyDescent="0.2">
      <c r="B427" s="396">
        <v>427</v>
      </c>
      <c r="C427" s="395" t="s">
        <v>60</v>
      </c>
      <c r="D427" s="394" t="s">
        <v>323</v>
      </c>
    </row>
    <row r="428" spans="2:5" x14ac:dyDescent="0.2">
      <c r="B428" s="396">
        <v>428</v>
      </c>
      <c r="C428" s="395" t="s">
        <v>324</v>
      </c>
      <c r="D428" s="394" t="s">
        <v>325</v>
      </c>
    </row>
    <row r="429" spans="2:5" x14ac:dyDescent="0.2">
      <c r="B429" s="396">
        <v>429</v>
      </c>
      <c r="C429" s="395" t="s">
        <v>795</v>
      </c>
      <c r="D429" s="394" t="s">
        <v>796</v>
      </c>
    </row>
    <row r="430" spans="2:5" x14ac:dyDescent="0.2">
      <c r="B430" s="396">
        <v>430</v>
      </c>
      <c r="C430" s="395" t="s">
        <v>185</v>
      </c>
      <c r="D430" s="394" t="s">
        <v>186</v>
      </c>
    </row>
    <row r="431" spans="2:5" x14ac:dyDescent="0.2">
      <c r="B431" s="396">
        <v>431</v>
      </c>
      <c r="C431" s="395" t="s">
        <v>797</v>
      </c>
      <c r="D431" s="394" t="s">
        <v>798</v>
      </c>
    </row>
    <row r="432" spans="2:5" x14ac:dyDescent="0.2">
      <c r="B432" s="396">
        <v>432</v>
      </c>
      <c r="C432" s="398" t="s">
        <v>799</v>
      </c>
      <c r="D432" s="394" t="s">
        <v>800</v>
      </c>
    </row>
    <row r="433" spans="2:5" x14ac:dyDescent="0.2">
      <c r="B433" s="396">
        <v>433</v>
      </c>
      <c r="C433" s="395" t="s">
        <v>801</v>
      </c>
      <c r="D433" s="394" t="s">
        <v>802</v>
      </c>
      <c r="E433" s="394" t="s">
        <v>803</v>
      </c>
    </row>
    <row r="434" spans="2:5" x14ac:dyDescent="0.2">
      <c r="B434" s="396">
        <v>434</v>
      </c>
      <c r="C434" s="395" t="s">
        <v>804</v>
      </c>
      <c r="D434" s="394" t="s">
        <v>805</v>
      </c>
      <c r="E434" s="394" t="s">
        <v>806</v>
      </c>
    </row>
    <row r="435" spans="2:5" x14ac:dyDescent="0.2">
      <c r="B435" s="396">
        <v>435</v>
      </c>
      <c r="C435" s="395" t="s">
        <v>807</v>
      </c>
      <c r="D435" s="394" t="s">
        <v>752</v>
      </c>
    </row>
    <row r="436" spans="2:5" x14ac:dyDescent="0.2">
      <c r="B436" s="396">
        <v>436</v>
      </c>
      <c r="C436" s="395" t="s">
        <v>808</v>
      </c>
      <c r="D436" s="394" t="s">
        <v>809</v>
      </c>
    </row>
    <row r="437" spans="2:5" x14ac:dyDescent="0.2">
      <c r="B437" s="396">
        <v>437</v>
      </c>
      <c r="C437" s="395" t="s">
        <v>810</v>
      </c>
      <c r="D437" s="394" t="s">
        <v>811</v>
      </c>
    </row>
    <row r="438" spans="2:5" x14ac:dyDescent="0.2">
      <c r="B438" s="396">
        <v>438</v>
      </c>
      <c r="C438" s="395" t="s">
        <v>812</v>
      </c>
      <c r="D438" s="394" t="s">
        <v>813</v>
      </c>
    </row>
    <row r="439" spans="2:5" x14ac:dyDescent="0.2">
      <c r="B439" s="396">
        <v>439</v>
      </c>
      <c r="C439" s="395" t="s">
        <v>814</v>
      </c>
      <c r="D439" s="394" t="s">
        <v>815</v>
      </c>
    </row>
    <row r="440" spans="2:5" x14ac:dyDescent="0.2">
      <c r="B440" s="396">
        <v>440</v>
      </c>
      <c r="C440" s="395" t="s">
        <v>816</v>
      </c>
      <c r="D440" s="394" t="s">
        <v>817</v>
      </c>
    </row>
    <row r="441" spans="2:5" x14ac:dyDescent="0.2">
      <c r="B441" s="396">
        <v>441</v>
      </c>
      <c r="C441" s="395" t="s">
        <v>818</v>
      </c>
      <c r="D441" s="394" t="s">
        <v>819</v>
      </c>
    </row>
    <row r="442" spans="2:5" x14ac:dyDescent="0.2">
      <c r="B442" s="396">
        <v>442</v>
      </c>
      <c r="C442" s="395" t="s">
        <v>76</v>
      </c>
      <c r="D442" s="394" t="s">
        <v>820</v>
      </c>
    </row>
    <row r="443" spans="2:5" x14ac:dyDescent="0.2">
      <c r="B443" s="396">
        <v>443</v>
      </c>
      <c r="C443" s="395" t="s">
        <v>821</v>
      </c>
      <c r="D443" s="394" t="s">
        <v>822</v>
      </c>
    </row>
    <row r="444" spans="2:5" x14ac:dyDescent="0.2">
      <c r="B444" s="396">
        <v>444</v>
      </c>
      <c r="C444" s="395" t="s">
        <v>60</v>
      </c>
      <c r="D444" s="394" t="s">
        <v>323</v>
      </c>
    </row>
    <row r="445" spans="2:5" x14ac:dyDescent="0.2">
      <c r="B445" s="396">
        <v>445</v>
      </c>
      <c r="C445" s="395" t="s">
        <v>823</v>
      </c>
      <c r="D445" s="394" t="s">
        <v>824</v>
      </c>
    </row>
    <row r="446" spans="2:5" x14ac:dyDescent="0.2">
      <c r="B446" s="396">
        <v>446</v>
      </c>
      <c r="C446" s="395" t="s">
        <v>825</v>
      </c>
      <c r="D446" s="394" t="s">
        <v>826</v>
      </c>
    </row>
    <row r="447" spans="2:5" x14ac:dyDescent="0.2">
      <c r="B447" s="396">
        <v>447</v>
      </c>
      <c r="C447" s="395" t="s">
        <v>827</v>
      </c>
      <c r="D447" s="394" t="s">
        <v>828</v>
      </c>
    </row>
    <row r="448" spans="2:5" x14ac:dyDescent="0.2">
      <c r="B448" s="396">
        <v>448</v>
      </c>
      <c r="C448" s="395" t="s">
        <v>829</v>
      </c>
      <c r="D448" s="394" t="s">
        <v>830</v>
      </c>
    </row>
    <row r="449" spans="2:4" x14ac:dyDescent="0.2">
      <c r="B449" s="396">
        <v>449</v>
      </c>
      <c r="C449" s="395" t="s">
        <v>831</v>
      </c>
      <c r="D449" s="394" t="s">
        <v>832</v>
      </c>
    </row>
    <row r="450" spans="2:4" x14ac:dyDescent="0.2">
      <c r="B450" s="396">
        <v>450</v>
      </c>
      <c r="C450" s="398" t="s">
        <v>833</v>
      </c>
      <c r="D450" s="394" t="s">
        <v>834</v>
      </c>
    </row>
    <row r="451" spans="2:4" x14ac:dyDescent="0.2">
      <c r="B451" s="396">
        <v>451</v>
      </c>
      <c r="C451" s="395" t="s">
        <v>835</v>
      </c>
      <c r="D451" s="394" t="s">
        <v>836</v>
      </c>
    </row>
    <row r="452" spans="2:4" x14ac:dyDescent="0.2">
      <c r="B452" s="396">
        <v>452</v>
      </c>
      <c r="C452" s="395" t="s">
        <v>264</v>
      </c>
      <c r="D452" s="394" t="s">
        <v>265</v>
      </c>
    </row>
    <row r="453" spans="2:4" x14ac:dyDescent="0.2">
      <c r="B453" s="396">
        <v>453</v>
      </c>
      <c r="C453" s="395" t="s">
        <v>837</v>
      </c>
      <c r="D453" s="394" t="s">
        <v>838</v>
      </c>
    </row>
    <row r="454" spans="2:4" x14ac:dyDescent="0.2">
      <c r="B454" s="396">
        <v>454</v>
      </c>
      <c r="C454" s="395" t="s">
        <v>839</v>
      </c>
      <c r="D454" s="394" t="s">
        <v>840</v>
      </c>
    </row>
    <row r="455" spans="2:4" x14ac:dyDescent="0.2">
      <c r="B455" s="396">
        <v>455</v>
      </c>
      <c r="C455" s="395" t="s">
        <v>841</v>
      </c>
      <c r="D455" s="394" t="s">
        <v>842</v>
      </c>
    </row>
    <row r="456" spans="2:4" x14ac:dyDescent="0.2">
      <c r="B456" s="396">
        <v>456</v>
      </c>
      <c r="C456" s="395" t="s">
        <v>843</v>
      </c>
      <c r="D456" s="394" t="s">
        <v>844</v>
      </c>
    </row>
    <row r="457" spans="2:4" x14ac:dyDescent="0.2">
      <c r="B457" s="396">
        <v>457</v>
      </c>
      <c r="C457" s="395" t="s">
        <v>845</v>
      </c>
      <c r="D457" s="394" t="s">
        <v>846</v>
      </c>
    </row>
    <row r="458" spans="2:4" x14ac:dyDescent="0.2">
      <c r="B458" s="396">
        <v>458</v>
      </c>
      <c r="C458" s="395" t="s">
        <v>847</v>
      </c>
      <c r="D458" s="394" t="s">
        <v>848</v>
      </c>
    </row>
    <row r="459" spans="2:4" x14ac:dyDescent="0.2">
      <c r="B459" s="396">
        <v>459</v>
      </c>
      <c r="C459" s="395" t="s">
        <v>849</v>
      </c>
      <c r="D459" s="394" t="s">
        <v>850</v>
      </c>
    </row>
    <row r="460" spans="2:4" x14ac:dyDescent="0.2">
      <c r="B460" s="396">
        <v>460</v>
      </c>
      <c r="C460" s="395" t="s">
        <v>851</v>
      </c>
      <c r="D460" s="394" t="s">
        <v>852</v>
      </c>
    </row>
    <row r="461" spans="2:4" x14ac:dyDescent="0.2">
      <c r="B461" s="396">
        <v>461</v>
      </c>
      <c r="C461" s="395" t="s">
        <v>853</v>
      </c>
      <c r="D461" s="397" t="s">
        <v>853</v>
      </c>
    </row>
    <row r="462" spans="2:4" x14ac:dyDescent="0.2">
      <c r="B462" s="396">
        <v>462</v>
      </c>
      <c r="C462" s="395" t="s">
        <v>854</v>
      </c>
      <c r="D462" s="394" t="s">
        <v>855</v>
      </c>
    </row>
    <row r="463" spans="2:4" x14ac:dyDescent="0.2">
      <c r="B463" s="396">
        <v>463</v>
      </c>
      <c r="C463" s="395" t="s">
        <v>856</v>
      </c>
      <c r="D463" s="394" t="s">
        <v>857</v>
      </c>
    </row>
    <row r="464" spans="2:4" x14ac:dyDescent="0.2">
      <c r="B464" s="396">
        <v>464</v>
      </c>
      <c r="C464" s="395" t="s">
        <v>858</v>
      </c>
      <c r="D464" s="394" t="s">
        <v>859</v>
      </c>
    </row>
    <row r="465" spans="2:4" x14ac:dyDescent="0.2">
      <c r="B465" s="396">
        <v>465</v>
      </c>
      <c r="C465" s="395" t="s">
        <v>860</v>
      </c>
      <c r="D465" s="394" t="s">
        <v>861</v>
      </c>
    </row>
    <row r="466" spans="2:4" x14ac:dyDescent="0.2">
      <c r="B466" s="396">
        <v>466</v>
      </c>
      <c r="C466" s="395" t="s">
        <v>862</v>
      </c>
      <c r="D466" s="394" t="s">
        <v>863</v>
      </c>
    </row>
    <row r="467" spans="2:4" x14ac:dyDescent="0.2">
      <c r="B467" s="396">
        <v>467</v>
      </c>
      <c r="C467" s="395" t="s">
        <v>200</v>
      </c>
      <c r="D467" s="394" t="s">
        <v>201</v>
      </c>
    </row>
    <row r="468" spans="2:4" x14ac:dyDescent="0.2">
      <c r="B468" s="396">
        <v>468</v>
      </c>
      <c r="C468" s="395" t="s">
        <v>202</v>
      </c>
      <c r="D468" s="394" t="s">
        <v>203</v>
      </c>
    </row>
    <row r="469" spans="2:4" x14ac:dyDescent="0.2">
      <c r="B469" s="396">
        <v>469</v>
      </c>
      <c r="C469" s="395" t="s">
        <v>204</v>
      </c>
      <c r="D469" s="394" t="s">
        <v>205</v>
      </c>
    </row>
    <row r="470" spans="2:4" x14ac:dyDescent="0.2">
      <c r="B470" s="396">
        <v>470</v>
      </c>
      <c r="C470" s="395" t="s">
        <v>206</v>
      </c>
      <c r="D470" s="394" t="s">
        <v>207</v>
      </c>
    </row>
    <row r="471" spans="2:4" x14ac:dyDescent="0.2">
      <c r="B471" s="396">
        <v>471</v>
      </c>
      <c r="C471" s="395" t="s">
        <v>208</v>
      </c>
      <c r="D471" s="394" t="s">
        <v>209</v>
      </c>
    </row>
    <row r="472" spans="2:4" x14ac:dyDescent="0.2">
      <c r="B472" s="396">
        <v>472</v>
      </c>
      <c r="C472" s="395" t="s">
        <v>210</v>
      </c>
      <c r="D472" s="394" t="s">
        <v>211</v>
      </c>
    </row>
    <row r="473" spans="2:4" x14ac:dyDescent="0.2">
      <c r="B473" s="396">
        <v>473</v>
      </c>
      <c r="C473" s="395" t="s">
        <v>212</v>
      </c>
      <c r="D473" s="394" t="s">
        <v>213</v>
      </c>
    </row>
    <row r="474" spans="2:4" x14ac:dyDescent="0.2">
      <c r="B474" s="396">
        <v>474</v>
      </c>
      <c r="C474" s="395" t="s">
        <v>214</v>
      </c>
      <c r="D474" s="394" t="s">
        <v>215</v>
      </c>
    </row>
    <row r="475" spans="2:4" x14ac:dyDescent="0.2">
      <c r="B475" s="396">
        <v>475</v>
      </c>
      <c r="C475" s="395" t="s">
        <v>216</v>
      </c>
      <c r="D475" s="394" t="s">
        <v>217</v>
      </c>
    </row>
    <row r="476" spans="2:4" x14ac:dyDescent="0.2">
      <c r="B476" s="396">
        <v>476</v>
      </c>
      <c r="C476" s="395" t="s">
        <v>218</v>
      </c>
      <c r="D476" s="394" t="s">
        <v>219</v>
      </c>
    </row>
    <row r="477" spans="2:4" x14ac:dyDescent="0.2">
      <c r="B477" s="396">
        <v>477</v>
      </c>
      <c r="C477" s="395" t="s">
        <v>220</v>
      </c>
      <c r="D477" s="394" t="s">
        <v>221</v>
      </c>
    </row>
    <row r="478" spans="2:4" x14ac:dyDescent="0.2">
      <c r="B478" s="396">
        <v>478</v>
      </c>
      <c r="C478" s="395" t="s">
        <v>222</v>
      </c>
      <c r="D478" s="394" t="s">
        <v>223</v>
      </c>
    </row>
    <row r="479" spans="2:4" x14ac:dyDescent="0.2">
      <c r="B479" s="396">
        <v>479</v>
      </c>
      <c r="C479" s="395" t="s">
        <v>224</v>
      </c>
      <c r="D479" s="394" t="s">
        <v>864</v>
      </c>
    </row>
    <row r="480" spans="2:4" x14ac:dyDescent="0.2">
      <c r="B480" s="396">
        <v>480</v>
      </c>
      <c r="C480" s="395" t="s">
        <v>865</v>
      </c>
      <c r="D480" s="394" t="s">
        <v>866</v>
      </c>
    </row>
    <row r="481" spans="2:4" x14ac:dyDescent="0.2">
      <c r="B481" s="396">
        <v>481</v>
      </c>
      <c r="C481" s="395" t="s">
        <v>867</v>
      </c>
      <c r="D481" s="394" t="s">
        <v>868</v>
      </c>
    </row>
    <row r="482" spans="2:4" x14ac:dyDescent="0.2">
      <c r="B482" s="396">
        <v>482</v>
      </c>
      <c r="C482" s="395" t="s">
        <v>141</v>
      </c>
      <c r="D482" s="394" t="s">
        <v>142</v>
      </c>
    </row>
    <row r="483" spans="2:4" x14ac:dyDescent="0.2">
      <c r="B483" s="396">
        <v>483</v>
      </c>
      <c r="C483" s="395" t="s">
        <v>143</v>
      </c>
      <c r="D483" s="394" t="s">
        <v>144</v>
      </c>
    </row>
    <row r="484" spans="2:4" x14ac:dyDescent="0.2">
      <c r="B484" s="396">
        <v>484</v>
      </c>
      <c r="C484" s="395" t="s">
        <v>194</v>
      </c>
      <c r="D484" s="394" t="s">
        <v>195</v>
      </c>
    </row>
    <row r="485" spans="2:4" x14ac:dyDescent="0.2">
      <c r="B485" s="396">
        <v>485</v>
      </c>
      <c r="C485" s="395" t="s">
        <v>869</v>
      </c>
      <c r="D485" s="394" t="s">
        <v>870</v>
      </c>
    </row>
    <row r="486" spans="2:4" x14ac:dyDescent="0.2">
      <c r="B486" s="396">
        <v>486</v>
      </c>
      <c r="C486" s="395" t="s">
        <v>871</v>
      </c>
      <c r="D486" s="394" t="s">
        <v>872</v>
      </c>
    </row>
    <row r="487" spans="2:4" x14ac:dyDescent="0.2">
      <c r="B487" s="396">
        <v>487</v>
      </c>
      <c r="C487" s="395" t="s">
        <v>232</v>
      </c>
      <c r="D487" s="394" t="s">
        <v>873</v>
      </c>
    </row>
    <row r="488" spans="2:4" x14ac:dyDescent="0.2">
      <c r="B488" s="396">
        <v>488</v>
      </c>
      <c r="C488" s="395" t="s">
        <v>234</v>
      </c>
      <c r="D488" s="394" t="s">
        <v>235</v>
      </c>
    </row>
    <row r="489" spans="2:4" x14ac:dyDescent="0.2">
      <c r="B489" s="396">
        <v>489</v>
      </c>
      <c r="C489" s="395" t="s">
        <v>236</v>
      </c>
      <c r="D489" s="394" t="s">
        <v>237</v>
      </c>
    </row>
    <row r="490" spans="2:4" x14ac:dyDescent="0.2">
      <c r="B490" s="396">
        <v>490</v>
      </c>
      <c r="C490" s="395" t="s">
        <v>238</v>
      </c>
      <c r="D490" s="394" t="s">
        <v>239</v>
      </c>
    </row>
    <row r="491" spans="2:4" x14ac:dyDescent="0.2">
      <c r="B491" s="396">
        <v>491</v>
      </c>
      <c r="C491" s="395" t="s">
        <v>874</v>
      </c>
      <c r="D491" s="394" t="s">
        <v>875</v>
      </c>
    </row>
    <row r="492" spans="2:4" x14ac:dyDescent="0.2">
      <c r="B492" s="396">
        <v>492</v>
      </c>
      <c r="C492" s="395" t="s">
        <v>214</v>
      </c>
      <c r="D492" s="394" t="s">
        <v>215</v>
      </c>
    </row>
    <row r="493" spans="2:4" x14ac:dyDescent="0.2">
      <c r="B493" s="396">
        <v>493</v>
      </c>
      <c r="C493" s="395" t="s">
        <v>865</v>
      </c>
      <c r="D493" s="394" t="s">
        <v>866</v>
      </c>
    </row>
    <row r="494" spans="2:4" x14ac:dyDescent="0.2">
      <c r="B494" s="396">
        <v>494</v>
      </c>
      <c r="C494" s="395" t="s">
        <v>867</v>
      </c>
      <c r="D494" s="394" t="s">
        <v>868</v>
      </c>
    </row>
    <row r="495" spans="2:4" x14ac:dyDescent="0.2">
      <c r="B495" s="396">
        <v>495</v>
      </c>
      <c r="C495" s="395" t="s">
        <v>141</v>
      </c>
      <c r="D495" s="394" t="s">
        <v>142</v>
      </c>
    </row>
    <row r="496" spans="2:4" x14ac:dyDescent="0.2">
      <c r="B496" s="396">
        <v>496</v>
      </c>
      <c r="C496" s="395" t="s">
        <v>143</v>
      </c>
      <c r="D496" s="394" t="s">
        <v>144</v>
      </c>
    </row>
    <row r="497" spans="2:4" x14ac:dyDescent="0.2">
      <c r="B497" s="396">
        <v>497</v>
      </c>
      <c r="C497" s="395" t="s">
        <v>196</v>
      </c>
      <c r="D497" s="394" t="s">
        <v>197</v>
      </c>
    </row>
    <row r="498" spans="2:4" x14ac:dyDescent="0.2">
      <c r="B498" s="396">
        <v>498</v>
      </c>
      <c r="C498" s="395" t="s">
        <v>242</v>
      </c>
      <c r="D498" s="394" t="s">
        <v>243</v>
      </c>
    </row>
    <row r="499" spans="2:4" x14ac:dyDescent="0.2">
      <c r="B499" s="396">
        <v>499</v>
      </c>
      <c r="C499" s="395" t="s">
        <v>876</v>
      </c>
      <c r="D499" s="394" t="s">
        <v>877</v>
      </c>
    </row>
    <row r="500" spans="2:4" x14ac:dyDescent="0.2">
      <c r="B500" s="396">
        <v>500</v>
      </c>
      <c r="C500" s="395" t="s">
        <v>878</v>
      </c>
      <c r="D500" s="394" t="s">
        <v>879</v>
      </c>
    </row>
    <row r="501" spans="2:4" x14ac:dyDescent="0.2">
      <c r="B501" s="396">
        <v>501</v>
      </c>
      <c r="C501" s="395" t="s">
        <v>248</v>
      </c>
      <c r="D501" s="394" t="s">
        <v>249</v>
      </c>
    </row>
    <row r="502" spans="2:4" x14ac:dyDescent="0.2">
      <c r="B502" s="396">
        <v>502</v>
      </c>
      <c r="C502" s="395" t="s">
        <v>250</v>
      </c>
      <c r="D502" s="394" t="s">
        <v>880</v>
      </c>
    </row>
    <row r="503" spans="2:4" x14ac:dyDescent="0.2">
      <c r="B503" s="396">
        <v>503</v>
      </c>
      <c r="C503" s="395" t="s">
        <v>216</v>
      </c>
      <c r="D503" s="394" t="s">
        <v>217</v>
      </c>
    </row>
    <row r="504" spans="2:4" x14ac:dyDescent="0.2">
      <c r="B504" s="396">
        <v>504</v>
      </c>
      <c r="C504" s="395" t="s">
        <v>252</v>
      </c>
      <c r="D504" s="394" t="s">
        <v>253</v>
      </c>
    </row>
    <row r="505" spans="2:4" x14ac:dyDescent="0.2">
      <c r="B505" s="396">
        <v>505</v>
      </c>
      <c r="C505" s="395" t="s">
        <v>254</v>
      </c>
      <c r="D505" s="394" t="s">
        <v>255</v>
      </c>
    </row>
    <row r="506" spans="2:4" x14ac:dyDescent="0.2">
      <c r="B506" s="396">
        <v>506</v>
      </c>
      <c r="C506" s="395" t="s">
        <v>256</v>
      </c>
      <c r="D506" s="394" t="s">
        <v>881</v>
      </c>
    </row>
    <row r="507" spans="2:4" x14ac:dyDescent="0.2">
      <c r="B507" s="396">
        <v>507</v>
      </c>
      <c r="C507" s="395" t="s">
        <v>882</v>
      </c>
      <c r="D507" s="394" t="s">
        <v>883</v>
      </c>
    </row>
    <row r="508" spans="2:4" x14ac:dyDescent="0.2">
      <c r="B508" s="396">
        <v>508</v>
      </c>
      <c r="C508" s="395" t="s">
        <v>224</v>
      </c>
      <c r="D508" s="394" t="s">
        <v>864</v>
      </c>
    </row>
    <row r="509" spans="2:4" x14ac:dyDescent="0.2">
      <c r="B509" s="396">
        <v>509</v>
      </c>
      <c r="C509" s="395" t="s">
        <v>865</v>
      </c>
      <c r="D509" s="394" t="s">
        <v>866</v>
      </c>
    </row>
    <row r="510" spans="2:4" x14ac:dyDescent="0.2">
      <c r="B510" s="396">
        <v>510</v>
      </c>
      <c r="C510" s="395" t="s">
        <v>867</v>
      </c>
      <c r="D510" s="394" t="s">
        <v>868</v>
      </c>
    </row>
    <row r="511" spans="2:4" x14ac:dyDescent="0.2">
      <c r="B511" s="396">
        <v>511</v>
      </c>
      <c r="C511" s="395" t="s">
        <v>141</v>
      </c>
      <c r="D511" s="394" t="s">
        <v>142</v>
      </c>
    </row>
    <row r="512" spans="2:4" x14ac:dyDescent="0.2">
      <c r="B512" s="396">
        <v>512</v>
      </c>
      <c r="C512" s="395" t="s">
        <v>143</v>
      </c>
      <c r="D512" s="394" t="s">
        <v>144</v>
      </c>
    </row>
    <row r="513" spans="2:4" x14ac:dyDescent="0.2">
      <c r="B513" s="396">
        <v>513</v>
      </c>
      <c r="C513" s="395" t="s">
        <v>884</v>
      </c>
      <c r="D513" s="394" t="s">
        <v>885</v>
      </c>
    </row>
    <row r="514" spans="2:4" x14ac:dyDescent="0.2">
      <c r="B514" s="396">
        <v>514</v>
      </c>
      <c r="C514" s="395" t="s">
        <v>886</v>
      </c>
      <c r="D514" s="394" t="s">
        <v>887</v>
      </c>
    </row>
    <row r="515" spans="2:4" x14ac:dyDescent="0.2">
      <c r="B515" s="396">
        <v>515</v>
      </c>
      <c r="C515" s="395" t="s">
        <v>888</v>
      </c>
      <c r="D515" s="394" t="s">
        <v>889</v>
      </c>
    </row>
    <row r="516" spans="2:4" x14ac:dyDescent="0.2">
      <c r="B516" s="396">
        <v>516</v>
      </c>
      <c r="C516" s="395" t="s">
        <v>890</v>
      </c>
      <c r="D516" s="394" t="s">
        <v>891</v>
      </c>
    </row>
    <row r="517" spans="2:4" x14ac:dyDescent="0.2">
      <c r="B517" s="396">
        <v>517</v>
      </c>
      <c r="C517" s="395" t="s">
        <v>892</v>
      </c>
      <c r="D517" s="394" t="s">
        <v>893</v>
      </c>
    </row>
    <row r="518" spans="2:4" x14ac:dyDescent="0.2">
      <c r="B518" s="396">
        <v>518</v>
      </c>
      <c r="C518" s="395" t="s">
        <v>894</v>
      </c>
      <c r="D518" s="394" t="s">
        <v>895</v>
      </c>
    </row>
    <row r="519" spans="2:4" x14ac:dyDescent="0.2">
      <c r="B519" s="396">
        <v>519</v>
      </c>
      <c r="C519" s="395" t="s">
        <v>896</v>
      </c>
      <c r="D519" s="394" t="s">
        <v>897</v>
      </c>
    </row>
    <row r="520" spans="2:4" x14ac:dyDescent="0.2">
      <c r="B520" s="396">
        <v>520</v>
      </c>
      <c r="C520" s="395" t="s">
        <v>898</v>
      </c>
      <c r="D520" s="394" t="s">
        <v>899</v>
      </c>
    </row>
    <row r="521" spans="2:4" x14ac:dyDescent="0.2">
      <c r="B521" s="396">
        <v>521</v>
      </c>
      <c r="C521" s="395" t="s">
        <v>900</v>
      </c>
      <c r="D521" s="394" t="s">
        <v>901</v>
      </c>
    </row>
    <row r="522" spans="2:4" x14ac:dyDescent="0.2">
      <c r="B522" s="396">
        <v>522</v>
      </c>
      <c r="C522" s="395" t="s">
        <v>340</v>
      </c>
      <c r="D522" s="394" t="s">
        <v>341</v>
      </c>
    </row>
    <row r="523" spans="2:4" x14ac:dyDescent="0.2">
      <c r="B523" s="396">
        <v>523</v>
      </c>
      <c r="C523" s="395" t="s">
        <v>342</v>
      </c>
      <c r="D523" s="394" t="s">
        <v>343</v>
      </c>
    </row>
    <row r="524" spans="2:4" x14ac:dyDescent="0.2">
      <c r="B524" s="396">
        <v>524</v>
      </c>
      <c r="C524" s="395" t="s">
        <v>902</v>
      </c>
      <c r="D524" s="394" t="s">
        <v>345</v>
      </c>
    </row>
    <row r="525" spans="2:4" x14ac:dyDescent="0.2">
      <c r="B525" s="396">
        <v>525</v>
      </c>
      <c r="C525" s="395" t="s">
        <v>346</v>
      </c>
      <c r="D525" s="394" t="s">
        <v>347</v>
      </c>
    </row>
    <row r="526" spans="2:4" x14ac:dyDescent="0.2">
      <c r="B526" s="396">
        <v>526</v>
      </c>
      <c r="C526" s="395" t="s">
        <v>348</v>
      </c>
      <c r="D526" s="394" t="s">
        <v>349</v>
      </c>
    </row>
    <row r="527" spans="2:4" x14ac:dyDescent="0.2">
      <c r="B527" s="396">
        <v>527</v>
      </c>
      <c r="C527" s="395" t="s">
        <v>350</v>
      </c>
      <c r="D527" s="394" t="s">
        <v>351</v>
      </c>
    </row>
    <row r="528" spans="2:4" x14ac:dyDescent="0.2">
      <c r="B528" s="396">
        <v>528</v>
      </c>
      <c r="C528" s="395" t="s">
        <v>352</v>
      </c>
      <c r="D528" s="394" t="s">
        <v>353</v>
      </c>
    </row>
    <row r="529" spans="2:4" x14ac:dyDescent="0.2">
      <c r="B529" s="396">
        <v>529</v>
      </c>
      <c r="C529" s="395" t="s">
        <v>354</v>
      </c>
      <c r="D529" s="394" t="s">
        <v>355</v>
      </c>
    </row>
    <row r="530" spans="2:4" x14ac:dyDescent="0.2">
      <c r="B530" s="396">
        <v>530</v>
      </c>
      <c r="C530" s="395" t="s">
        <v>356</v>
      </c>
      <c r="D530" s="394" t="s">
        <v>357</v>
      </c>
    </row>
    <row r="531" spans="2:4" x14ac:dyDescent="0.2">
      <c r="B531" s="396">
        <v>531</v>
      </c>
      <c r="C531" s="395" t="s">
        <v>358</v>
      </c>
      <c r="D531" s="394" t="s">
        <v>359</v>
      </c>
    </row>
    <row r="532" spans="2:4" x14ac:dyDescent="0.2">
      <c r="B532" s="396">
        <v>532</v>
      </c>
      <c r="C532" s="395" t="s">
        <v>903</v>
      </c>
      <c r="D532" s="394" t="s">
        <v>904</v>
      </c>
    </row>
    <row r="533" spans="2:4" x14ac:dyDescent="0.2">
      <c r="B533" s="396">
        <v>533</v>
      </c>
      <c r="C533" s="395" t="s">
        <v>905</v>
      </c>
      <c r="D533" s="394" t="s">
        <v>906</v>
      </c>
    </row>
    <row r="534" spans="2:4" x14ac:dyDescent="0.2">
      <c r="B534" s="396">
        <v>534</v>
      </c>
      <c r="C534" s="395" t="s">
        <v>907</v>
      </c>
      <c r="D534" s="394" t="s">
        <v>365</v>
      </c>
    </row>
    <row r="535" spans="2:4" x14ac:dyDescent="0.2">
      <c r="B535" s="396">
        <v>535</v>
      </c>
      <c r="C535" s="395" t="s">
        <v>908</v>
      </c>
      <c r="D535" s="394" t="s">
        <v>909</v>
      </c>
    </row>
    <row r="536" spans="2:4" x14ac:dyDescent="0.2">
      <c r="B536" s="396">
        <v>536</v>
      </c>
      <c r="C536" s="395" t="s">
        <v>910</v>
      </c>
      <c r="D536" s="394" t="s">
        <v>911</v>
      </c>
    </row>
    <row r="537" spans="2:4" x14ac:dyDescent="0.2">
      <c r="B537" s="396">
        <v>537</v>
      </c>
      <c r="C537" s="395" t="s">
        <v>912</v>
      </c>
      <c r="D537" s="394" t="s">
        <v>913</v>
      </c>
    </row>
    <row r="538" spans="2:4" x14ac:dyDescent="0.2">
      <c r="B538" s="396">
        <v>538</v>
      </c>
      <c r="C538" s="395" t="s">
        <v>914</v>
      </c>
      <c r="D538" s="394" t="s">
        <v>915</v>
      </c>
    </row>
    <row r="539" spans="2:4" x14ac:dyDescent="0.2">
      <c r="B539" s="396">
        <v>539</v>
      </c>
      <c r="C539" s="395" t="s">
        <v>916</v>
      </c>
      <c r="D539" s="394" t="s">
        <v>917</v>
      </c>
    </row>
    <row r="540" spans="2:4" x14ac:dyDescent="0.2">
      <c r="B540" s="396">
        <v>540</v>
      </c>
      <c r="C540" s="395" t="s">
        <v>918</v>
      </c>
      <c r="D540" s="394" t="s">
        <v>919</v>
      </c>
    </row>
    <row r="541" spans="2:4" x14ac:dyDescent="0.2">
      <c r="B541" s="396">
        <v>541</v>
      </c>
      <c r="C541" s="395" t="s">
        <v>920</v>
      </c>
      <c r="D541" s="394" t="s">
        <v>921</v>
      </c>
    </row>
    <row r="542" spans="2:4" x14ac:dyDescent="0.2">
      <c r="B542" s="396">
        <v>542</v>
      </c>
      <c r="C542" s="395" t="s">
        <v>488</v>
      </c>
      <c r="D542" s="394" t="s">
        <v>922</v>
      </c>
    </row>
    <row r="543" spans="2:4" x14ac:dyDescent="0.2">
      <c r="B543" s="396">
        <v>543</v>
      </c>
      <c r="C543" s="395" t="s">
        <v>923</v>
      </c>
      <c r="D543" s="394" t="s">
        <v>924</v>
      </c>
    </row>
    <row r="544" spans="2:4" x14ac:dyDescent="0.2">
      <c r="B544" s="396">
        <v>544</v>
      </c>
      <c r="C544" s="395" t="s">
        <v>214</v>
      </c>
      <c r="D544" s="394" t="s">
        <v>215</v>
      </c>
    </row>
    <row r="545" spans="2:4" x14ac:dyDescent="0.2">
      <c r="B545" s="396">
        <v>545</v>
      </c>
      <c r="C545" s="395" t="s">
        <v>925</v>
      </c>
      <c r="D545" s="394" t="s">
        <v>926</v>
      </c>
    </row>
    <row r="546" spans="2:4" x14ac:dyDescent="0.2">
      <c r="B546" s="396">
        <v>546</v>
      </c>
      <c r="C546" s="395" t="s">
        <v>927</v>
      </c>
      <c r="D546" s="394" t="s">
        <v>928</v>
      </c>
    </row>
    <row r="547" spans="2:4" x14ac:dyDescent="0.2">
      <c r="B547" s="396">
        <v>547</v>
      </c>
      <c r="C547" s="395" t="s">
        <v>908</v>
      </c>
      <c r="D547" s="394" t="s">
        <v>909</v>
      </c>
    </row>
    <row r="548" spans="2:4" x14ac:dyDescent="0.2">
      <c r="B548" s="396">
        <v>548</v>
      </c>
      <c r="C548" s="395" t="s">
        <v>929</v>
      </c>
      <c r="D548" s="394" t="s">
        <v>930</v>
      </c>
    </row>
    <row r="549" spans="2:4" x14ac:dyDescent="0.2">
      <c r="B549" s="396">
        <v>549</v>
      </c>
      <c r="C549" s="395" t="s">
        <v>931</v>
      </c>
      <c r="D549" s="394" t="s">
        <v>932</v>
      </c>
    </row>
    <row r="550" spans="2:4" x14ac:dyDescent="0.2">
      <c r="B550" s="396">
        <v>550</v>
      </c>
      <c r="C550" s="395" t="s">
        <v>914</v>
      </c>
      <c r="D550" s="394" t="s">
        <v>915</v>
      </c>
    </row>
    <row r="551" spans="2:4" x14ac:dyDescent="0.2">
      <c r="B551" s="396">
        <v>551</v>
      </c>
      <c r="C551" s="395" t="s">
        <v>916</v>
      </c>
      <c r="D551" s="394" t="s">
        <v>917</v>
      </c>
    </row>
    <row r="552" spans="2:4" x14ac:dyDescent="0.2">
      <c r="B552" s="396">
        <v>552</v>
      </c>
      <c r="C552" s="395" t="s">
        <v>918</v>
      </c>
      <c r="D552" s="394" t="s">
        <v>919</v>
      </c>
    </row>
    <row r="553" spans="2:4" x14ac:dyDescent="0.2">
      <c r="B553" s="396">
        <v>553</v>
      </c>
      <c r="C553" s="395" t="s">
        <v>933</v>
      </c>
      <c r="D553" s="394" t="s">
        <v>934</v>
      </c>
    </row>
    <row r="554" spans="2:4" x14ac:dyDescent="0.2">
      <c r="B554" s="396">
        <v>554</v>
      </c>
      <c r="C554" s="395" t="s">
        <v>935</v>
      </c>
      <c r="D554" s="394" t="s">
        <v>936</v>
      </c>
    </row>
    <row r="555" spans="2:4" x14ac:dyDescent="0.2">
      <c r="B555" s="396">
        <v>555</v>
      </c>
      <c r="C555" s="395" t="s">
        <v>937</v>
      </c>
      <c r="D555" s="394" t="s">
        <v>938</v>
      </c>
    </row>
    <row r="556" spans="2:4" x14ac:dyDescent="0.2">
      <c r="B556" s="396">
        <v>556</v>
      </c>
      <c r="C556" s="395" t="s">
        <v>939</v>
      </c>
      <c r="D556" s="394" t="s">
        <v>940</v>
      </c>
    </row>
    <row r="557" spans="2:4" x14ac:dyDescent="0.2">
      <c r="B557" s="396">
        <v>557</v>
      </c>
      <c r="C557" s="395" t="s">
        <v>941</v>
      </c>
      <c r="D557" s="394" t="s">
        <v>942</v>
      </c>
    </row>
    <row r="558" spans="2:4" x14ac:dyDescent="0.2">
      <c r="B558" s="396">
        <v>558</v>
      </c>
      <c r="C558" s="395" t="s">
        <v>943</v>
      </c>
      <c r="D558" s="394" t="s">
        <v>944</v>
      </c>
    </row>
    <row r="559" spans="2:4" x14ac:dyDescent="0.2">
      <c r="B559" s="396">
        <v>559</v>
      </c>
      <c r="C559" s="395" t="s">
        <v>945</v>
      </c>
      <c r="D559" s="394" t="s">
        <v>946</v>
      </c>
    </row>
    <row r="560" spans="2:4" x14ac:dyDescent="0.2">
      <c r="B560" s="396">
        <v>560</v>
      </c>
      <c r="C560" s="395" t="s">
        <v>947</v>
      </c>
      <c r="D560" s="394" t="s">
        <v>948</v>
      </c>
    </row>
    <row r="561" spans="2:4" x14ac:dyDescent="0.2">
      <c r="B561" s="396">
        <v>561</v>
      </c>
      <c r="C561" s="395" t="s">
        <v>845</v>
      </c>
      <c r="D561" s="394" t="s">
        <v>846</v>
      </c>
    </row>
    <row r="562" spans="2:4" x14ac:dyDescent="0.2">
      <c r="B562" s="396">
        <v>562</v>
      </c>
      <c r="C562" s="395" t="s">
        <v>949</v>
      </c>
      <c r="D562" s="394" t="s">
        <v>950</v>
      </c>
    </row>
    <row r="563" spans="2:4" x14ac:dyDescent="0.2">
      <c r="B563" s="396">
        <v>563</v>
      </c>
      <c r="C563" s="395" t="s">
        <v>951</v>
      </c>
      <c r="D563" s="394" t="s">
        <v>952</v>
      </c>
    </row>
    <row r="564" spans="2:4" x14ac:dyDescent="0.2">
      <c r="B564" s="396">
        <v>564</v>
      </c>
      <c r="C564" s="395" t="s">
        <v>953</v>
      </c>
      <c r="D564" s="394" t="s">
        <v>954</v>
      </c>
    </row>
    <row r="565" spans="2:4" x14ac:dyDescent="0.2">
      <c r="B565" s="396">
        <v>565</v>
      </c>
      <c r="C565" s="395" t="s">
        <v>955</v>
      </c>
      <c r="D565" s="394" t="s">
        <v>956</v>
      </c>
    </row>
    <row r="566" spans="2:4" x14ac:dyDescent="0.2">
      <c r="B566" s="396">
        <v>566</v>
      </c>
      <c r="C566" s="395" t="s">
        <v>957</v>
      </c>
      <c r="D566" s="394" t="s">
        <v>958</v>
      </c>
    </row>
    <row r="567" spans="2:4" x14ac:dyDescent="0.2">
      <c r="B567" s="396">
        <v>567</v>
      </c>
      <c r="C567" s="395" t="s">
        <v>59</v>
      </c>
      <c r="D567" s="394" t="s">
        <v>959</v>
      </c>
    </row>
    <row r="568" spans="2:4" x14ac:dyDescent="0.2">
      <c r="B568" s="396">
        <v>568</v>
      </c>
      <c r="C568" s="395" t="s">
        <v>960</v>
      </c>
      <c r="D568" s="394" t="s">
        <v>961</v>
      </c>
    </row>
    <row r="569" spans="2:4" x14ac:dyDescent="0.2">
      <c r="B569" s="396">
        <v>569</v>
      </c>
      <c r="C569" s="395" t="s">
        <v>962</v>
      </c>
      <c r="D569" s="394" t="s">
        <v>963</v>
      </c>
    </row>
    <row r="570" spans="2:4" x14ac:dyDescent="0.2">
      <c r="B570" s="396">
        <v>570</v>
      </c>
      <c r="C570" s="395" t="s">
        <v>964</v>
      </c>
      <c r="D570" s="394" t="s">
        <v>965</v>
      </c>
    </row>
    <row r="571" spans="2:4" x14ac:dyDescent="0.2">
      <c r="B571" s="396">
        <v>571</v>
      </c>
      <c r="C571" s="395" t="s">
        <v>966</v>
      </c>
      <c r="D571" s="394" t="s">
        <v>967</v>
      </c>
    </row>
    <row r="572" spans="2:4" x14ac:dyDescent="0.2">
      <c r="B572" s="396">
        <v>572</v>
      </c>
      <c r="C572" s="395" t="s">
        <v>968</v>
      </c>
      <c r="D572" s="394" t="s">
        <v>969</v>
      </c>
    </row>
    <row r="573" spans="2:4" x14ac:dyDescent="0.2">
      <c r="B573" s="396">
        <v>573</v>
      </c>
      <c r="C573" s="395" t="s">
        <v>970</v>
      </c>
      <c r="D573" s="394" t="s">
        <v>971</v>
      </c>
    </row>
    <row r="574" spans="2:4" x14ac:dyDescent="0.2">
      <c r="B574" s="396">
        <v>574</v>
      </c>
      <c r="C574" s="395" t="s">
        <v>972</v>
      </c>
      <c r="D574" s="394" t="s">
        <v>973</v>
      </c>
    </row>
    <row r="575" spans="2:4" x14ac:dyDescent="0.2">
      <c r="B575" s="396">
        <v>575</v>
      </c>
      <c r="C575" s="395" t="s">
        <v>974</v>
      </c>
      <c r="D575" s="394" t="s">
        <v>975</v>
      </c>
    </row>
    <row r="576" spans="2:4" x14ac:dyDescent="0.2">
      <c r="B576" s="396">
        <v>576</v>
      </c>
      <c r="C576" s="395" t="s">
        <v>976</v>
      </c>
      <c r="D576" s="394" t="s">
        <v>977</v>
      </c>
    </row>
    <row r="577" spans="2:5" x14ac:dyDescent="0.2">
      <c r="B577" s="396">
        <v>577</v>
      </c>
      <c r="C577" s="395" t="s">
        <v>978</v>
      </c>
      <c r="D577" s="394" t="s">
        <v>979</v>
      </c>
    </row>
    <row r="578" spans="2:5" x14ac:dyDescent="0.2">
      <c r="B578" s="396">
        <v>578</v>
      </c>
      <c r="C578" s="395" t="s">
        <v>980</v>
      </c>
      <c r="D578" s="394" t="s">
        <v>981</v>
      </c>
    </row>
    <row r="579" spans="2:5" x14ac:dyDescent="0.2">
      <c r="B579" s="396">
        <v>579</v>
      </c>
      <c r="C579" s="395" t="s">
        <v>982</v>
      </c>
      <c r="D579" s="394" t="s">
        <v>983</v>
      </c>
    </row>
    <row r="580" spans="2:5" x14ac:dyDescent="0.2">
      <c r="B580" s="396">
        <v>580</v>
      </c>
      <c r="C580" s="395" t="s">
        <v>984</v>
      </c>
      <c r="D580" s="394" t="s">
        <v>985</v>
      </c>
      <c r="E580" s="394" t="s">
        <v>986</v>
      </c>
    </row>
    <row r="581" spans="2:5" x14ac:dyDescent="0.2">
      <c r="B581" s="396">
        <v>581</v>
      </c>
      <c r="C581" s="395" t="s">
        <v>978</v>
      </c>
      <c r="D581" s="394" t="s">
        <v>979</v>
      </c>
      <c r="E581" s="394" t="s">
        <v>987</v>
      </c>
    </row>
    <row r="582" spans="2:5" x14ac:dyDescent="0.2">
      <c r="B582" s="396">
        <v>582</v>
      </c>
      <c r="C582" s="395" t="s">
        <v>980</v>
      </c>
      <c r="D582" s="394" t="s">
        <v>981</v>
      </c>
    </row>
    <row r="583" spans="2:5" x14ac:dyDescent="0.2">
      <c r="B583" s="396">
        <v>583</v>
      </c>
      <c r="C583" s="395" t="s">
        <v>978</v>
      </c>
      <c r="D583" s="394" t="s">
        <v>979</v>
      </c>
    </row>
    <row r="584" spans="2:5" x14ac:dyDescent="0.2">
      <c r="B584" s="396">
        <v>584</v>
      </c>
      <c r="C584" s="395" t="s">
        <v>980</v>
      </c>
      <c r="D584" s="394" t="s">
        <v>981</v>
      </c>
    </row>
    <row r="585" spans="2:5" x14ac:dyDescent="0.2">
      <c r="B585" s="396">
        <v>585</v>
      </c>
      <c r="C585" s="395" t="s">
        <v>988</v>
      </c>
      <c r="D585" s="394" t="s">
        <v>989</v>
      </c>
    </row>
    <row r="586" spans="2:5" x14ac:dyDescent="0.2">
      <c r="B586" s="396">
        <v>586</v>
      </c>
      <c r="C586" s="395" t="s">
        <v>185</v>
      </c>
      <c r="D586" s="394" t="s">
        <v>990</v>
      </c>
    </row>
    <row r="587" spans="2:5" x14ac:dyDescent="0.2">
      <c r="B587" s="396">
        <v>587</v>
      </c>
      <c r="C587" s="398" t="s">
        <v>991</v>
      </c>
      <c r="D587" s="394" t="s">
        <v>992</v>
      </c>
    </row>
    <row r="588" spans="2:5" x14ac:dyDescent="0.2">
      <c r="B588" s="396">
        <v>588</v>
      </c>
      <c r="C588" s="395" t="s">
        <v>993</v>
      </c>
      <c r="D588" s="394" t="s">
        <v>994</v>
      </c>
    </row>
    <row r="589" spans="2:5" x14ac:dyDescent="0.2">
      <c r="B589" s="396">
        <v>589</v>
      </c>
      <c r="C589" s="395" t="s">
        <v>995</v>
      </c>
      <c r="D589" s="394" t="s">
        <v>996</v>
      </c>
    </row>
    <row r="590" spans="2:5" x14ac:dyDescent="0.2">
      <c r="B590" s="396">
        <v>590</v>
      </c>
      <c r="C590" s="395" t="s">
        <v>997</v>
      </c>
      <c r="D590" s="394" t="s">
        <v>998</v>
      </c>
    </row>
    <row r="591" spans="2:5" x14ac:dyDescent="0.2">
      <c r="B591" s="396">
        <v>591</v>
      </c>
      <c r="C591" s="395" t="s">
        <v>999</v>
      </c>
      <c r="D591" s="394" t="s">
        <v>1000</v>
      </c>
    </row>
    <row r="592" spans="2:5" x14ac:dyDescent="0.2">
      <c r="B592" s="396">
        <v>592</v>
      </c>
      <c r="C592" s="395" t="s">
        <v>1001</v>
      </c>
      <c r="D592" s="394" t="s">
        <v>1002</v>
      </c>
    </row>
    <row r="593" spans="2:5" x14ac:dyDescent="0.2">
      <c r="B593" s="396">
        <v>593</v>
      </c>
      <c r="C593" s="395" t="s">
        <v>1003</v>
      </c>
      <c r="D593" s="394" t="s">
        <v>1004</v>
      </c>
    </row>
    <row r="594" spans="2:5" x14ac:dyDescent="0.2">
      <c r="B594" s="396">
        <v>594</v>
      </c>
      <c r="C594" s="395" t="s">
        <v>1005</v>
      </c>
      <c r="D594" s="394" t="s">
        <v>456</v>
      </c>
    </row>
    <row r="595" spans="2:5" x14ac:dyDescent="0.2">
      <c r="B595" s="396">
        <v>595</v>
      </c>
      <c r="C595" s="395" t="s">
        <v>1006</v>
      </c>
      <c r="D595" s="394" t="s">
        <v>1007</v>
      </c>
    </row>
    <row r="596" spans="2:5" x14ac:dyDescent="0.2">
      <c r="B596" s="396">
        <v>596</v>
      </c>
      <c r="C596" s="395" t="s">
        <v>1008</v>
      </c>
      <c r="D596" s="394" t="s">
        <v>1009</v>
      </c>
    </row>
    <row r="597" spans="2:5" x14ac:dyDescent="0.2">
      <c r="B597" s="396">
        <v>597</v>
      </c>
      <c r="C597" s="395" t="s">
        <v>1010</v>
      </c>
      <c r="D597" s="394" t="s">
        <v>1011</v>
      </c>
    </row>
    <row r="598" spans="2:5" x14ac:dyDescent="0.2">
      <c r="B598" s="396">
        <v>598</v>
      </c>
      <c r="C598" s="395" t="s">
        <v>1012</v>
      </c>
      <c r="D598" s="394" t="s">
        <v>1013</v>
      </c>
    </row>
    <row r="599" spans="2:5" x14ac:dyDescent="0.2">
      <c r="B599" s="396">
        <v>599</v>
      </c>
      <c r="C599" s="395" t="s">
        <v>1014</v>
      </c>
      <c r="D599" s="394" t="s">
        <v>1015</v>
      </c>
    </row>
    <row r="600" spans="2:5" x14ac:dyDescent="0.2">
      <c r="B600" s="396">
        <v>600</v>
      </c>
      <c r="C600" s="395" t="s">
        <v>814</v>
      </c>
      <c r="D600" s="394" t="s">
        <v>815</v>
      </c>
    </row>
    <row r="601" spans="2:5" x14ac:dyDescent="0.2">
      <c r="B601" s="396">
        <v>601</v>
      </c>
      <c r="C601" s="395" t="s">
        <v>816</v>
      </c>
      <c r="D601" s="394" t="s">
        <v>817</v>
      </c>
    </row>
    <row r="602" spans="2:5" x14ac:dyDescent="0.2">
      <c r="B602" s="396">
        <v>602</v>
      </c>
      <c r="C602" s="395" t="s">
        <v>818</v>
      </c>
      <c r="D602" s="394" t="s">
        <v>819</v>
      </c>
    </row>
    <row r="603" spans="2:5" x14ac:dyDescent="0.2">
      <c r="B603" s="396">
        <v>603</v>
      </c>
      <c r="C603" s="395" t="s">
        <v>76</v>
      </c>
      <c r="D603" s="394" t="s">
        <v>77</v>
      </c>
    </row>
    <row r="604" spans="2:5" x14ac:dyDescent="0.2">
      <c r="B604" s="396">
        <v>604</v>
      </c>
      <c r="C604" s="395" t="s">
        <v>1016</v>
      </c>
      <c r="D604" s="394" t="s">
        <v>1017</v>
      </c>
    </row>
    <row r="605" spans="2:5" x14ac:dyDescent="0.2">
      <c r="B605" s="396">
        <v>605</v>
      </c>
      <c r="C605" s="395" t="s">
        <v>1018</v>
      </c>
      <c r="D605" s="394" t="s">
        <v>1019</v>
      </c>
    </row>
    <row r="606" spans="2:5" x14ac:dyDescent="0.2">
      <c r="B606" s="396">
        <v>606</v>
      </c>
      <c r="C606" s="395" t="s">
        <v>60</v>
      </c>
      <c r="D606" s="394" t="s">
        <v>323</v>
      </c>
    </row>
    <row r="607" spans="2:5" x14ac:dyDescent="0.2">
      <c r="B607" s="396">
        <v>607</v>
      </c>
      <c r="C607" s="395" t="s">
        <v>59</v>
      </c>
      <c r="D607" s="394" t="s">
        <v>959</v>
      </c>
      <c r="E607" s="394" t="s">
        <v>1020</v>
      </c>
    </row>
    <row r="608" spans="2:5" x14ac:dyDescent="0.2">
      <c r="B608" s="396">
        <v>608</v>
      </c>
      <c r="C608" s="395" t="s">
        <v>1021</v>
      </c>
      <c r="D608" s="394" t="s">
        <v>1022</v>
      </c>
      <c r="E608" s="394" t="s">
        <v>1023</v>
      </c>
    </row>
    <row r="609" spans="2:5" x14ac:dyDescent="0.2">
      <c r="B609" s="396">
        <v>609</v>
      </c>
      <c r="C609" s="395" t="s">
        <v>1024</v>
      </c>
      <c r="D609" s="394" t="s">
        <v>1025</v>
      </c>
    </row>
    <row r="610" spans="2:5" x14ac:dyDescent="0.2">
      <c r="B610" s="396">
        <v>610</v>
      </c>
      <c r="C610" s="395" t="s">
        <v>1026</v>
      </c>
      <c r="D610" s="394" t="s">
        <v>1027</v>
      </c>
      <c r="E610" s="394" t="s">
        <v>1028</v>
      </c>
    </row>
    <row r="611" spans="2:5" x14ac:dyDescent="0.2">
      <c r="B611" s="396">
        <v>611</v>
      </c>
      <c r="C611" s="395" t="s">
        <v>1029</v>
      </c>
      <c r="D611" s="394" t="s">
        <v>1030</v>
      </c>
      <c r="E611" s="394" t="s">
        <v>1031</v>
      </c>
    </row>
    <row r="612" spans="2:5" x14ac:dyDescent="0.2">
      <c r="B612" s="396">
        <v>612</v>
      </c>
      <c r="C612" s="395" t="s">
        <v>1032</v>
      </c>
      <c r="D612" s="394" t="s">
        <v>1033</v>
      </c>
    </row>
    <row r="613" spans="2:5" x14ac:dyDescent="0.2">
      <c r="B613" s="396">
        <v>613</v>
      </c>
      <c r="C613" s="395" t="s">
        <v>185</v>
      </c>
      <c r="D613" s="394" t="s">
        <v>186</v>
      </c>
    </row>
    <row r="614" spans="2:5" x14ac:dyDescent="0.2">
      <c r="B614" s="396">
        <v>614</v>
      </c>
      <c r="C614" s="398" t="s">
        <v>1034</v>
      </c>
      <c r="D614" s="394" t="s">
        <v>1035</v>
      </c>
    </row>
    <row r="615" spans="2:5" x14ac:dyDescent="0.2">
      <c r="B615" s="396">
        <v>615</v>
      </c>
      <c r="C615" s="395" t="s">
        <v>1036</v>
      </c>
      <c r="D615" s="394" t="s">
        <v>1037</v>
      </c>
    </row>
    <row r="616" spans="2:5" x14ac:dyDescent="0.2">
      <c r="B616" s="396">
        <v>616</v>
      </c>
      <c r="C616" s="395" t="s">
        <v>1038</v>
      </c>
      <c r="D616" s="394" t="s">
        <v>1039</v>
      </c>
    </row>
    <row r="617" spans="2:5" x14ac:dyDescent="0.2">
      <c r="B617" s="396">
        <v>617</v>
      </c>
      <c r="C617" s="395" t="s">
        <v>1040</v>
      </c>
      <c r="D617" s="394" t="s">
        <v>1041</v>
      </c>
    </row>
    <row r="618" spans="2:5" x14ac:dyDescent="0.2">
      <c r="B618" s="396">
        <v>618</v>
      </c>
      <c r="C618" s="395" t="s">
        <v>1042</v>
      </c>
      <c r="D618" s="394" t="s">
        <v>1043</v>
      </c>
      <c r="E618" s="394" t="s">
        <v>1044</v>
      </c>
    </row>
    <row r="619" spans="2:5" x14ac:dyDescent="0.2">
      <c r="B619" s="396">
        <v>619</v>
      </c>
      <c r="C619" s="395" t="s">
        <v>1045</v>
      </c>
      <c r="D619" s="394" t="s">
        <v>1046</v>
      </c>
      <c r="E619" s="394" t="s">
        <v>1047</v>
      </c>
    </row>
    <row r="620" spans="2:5" x14ac:dyDescent="0.2">
      <c r="B620" s="396">
        <v>620</v>
      </c>
      <c r="C620" s="395" t="s">
        <v>60</v>
      </c>
      <c r="D620" s="394" t="s">
        <v>323</v>
      </c>
    </row>
    <row r="621" spans="2:5" x14ac:dyDescent="0.2">
      <c r="B621" s="396">
        <v>621</v>
      </c>
      <c r="C621" s="395" t="s">
        <v>1048</v>
      </c>
      <c r="D621" s="394" t="s">
        <v>1049</v>
      </c>
      <c r="E621" s="394" t="s">
        <v>1050</v>
      </c>
    </row>
    <row r="622" spans="2:5" x14ac:dyDescent="0.2">
      <c r="B622" s="396">
        <v>622</v>
      </c>
      <c r="C622" s="395" t="s">
        <v>1051</v>
      </c>
      <c r="D622" s="394" t="s">
        <v>1052</v>
      </c>
      <c r="E622" s="394" t="s">
        <v>1053</v>
      </c>
    </row>
    <row r="623" spans="2:5" x14ac:dyDescent="0.2">
      <c r="B623" s="396">
        <v>623</v>
      </c>
      <c r="C623" s="395" t="s">
        <v>1054</v>
      </c>
      <c r="D623" s="394" t="s">
        <v>1055</v>
      </c>
    </row>
    <row r="624" spans="2:5" x14ac:dyDescent="0.2">
      <c r="B624" s="396">
        <v>624</v>
      </c>
      <c r="C624" s="395" t="s">
        <v>1056</v>
      </c>
      <c r="D624" s="394" t="s">
        <v>1057</v>
      </c>
      <c r="E624" s="394" t="s">
        <v>1058</v>
      </c>
    </row>
    <row r="625" spans="2:5" x14ac:dyDescent="0.2">
      <c r="B625" s="396">
        <v>625</v>
      </c>
      <c r="C625" s="395" t="s">
        <v>1059</v>
      </c>
      <c r="D625" s="394" t="s">
        <v>1060</v>
      </c>
      <c r="E625" s="394" t="s">
        <v>1061</v>
      </c>
    </row>
    <row r="626" spans="2:5" x14ac:dyDescent="0.2">
      <c r="B626" s="396">
        <v>626</v>
      </c>
      <c r="C626" s="395" t="s">
        <v>1062</v>
      </c>
      <c r="D626" s="394" t="s">
        <v>1063</v>
      </c>
    </row>
    <row r="627" spans="2:5" x14ac:dyDescent="0.2">
      <c r="B627" s="396">
        <v>627</v>
      </c>
      <c r="C627" s="395" t="s">
        <v>185</v>
      </c>
      <c r="D627" s="394" t="s">
        <v>186</v>
      </c>
    </row>
    <row r="628" spans="2:5" x14ac:dyDescent="0.2">
      <c r="B628" s="396">
        <v>628</v>
      </c>
      <c r="C628" s="395" t="s">
        <v>1064</v>
      </c>
      <c r="D628" s="394" t="s">
        <v>1065</v>
      </c>
    </row>
    <row r="629" spans="2:5" x14ac:dyDescent="0.2">
      <c r="B629" s="396">
        <v>629</v>
      </c>
      <c r="C629" s="395" t="s">
        <v>1066</v>
      </c>
      <c r="D629" s="394" t="s">
        <v>1067</v>
      </c>
    </row>
    <row r="630" spans="2:5" x14ac:dyDescent="0.2">
      <c r="B630" s="396">
        <v>630</v>
      </c>
      <c r="C630" s="398" t="s">
        <v>1068</v>
      </c>
      <c r="D630" s="394" t="s">
        <v>1069</v>
      </c>
    </row>
    <row r="631" spans="2:5" x14ac:dyDescent="0.2">
      <c r="B631" s="396">
        <v>631</v>
      </c>
      <c r="C631" s="395" t="s">
        <v>1070</v>
      </c>
      <c r="D631" s="394" t="s">
        <v>1071</v>
      </c>
    </row>
    <row r="632" spans="2:5" x14ac:dyDescent="0.2">
      <c r="B632" s="396">
        <v>632</v>
      </c>
      <c r="C632" s="395" t="s">
        <v>1072</v>
      </c>
      <c r="D632" s="394" t="s">
        <v>1073</v>
      </c>
    </row>
    <row r="633" spans="2:5" x14ac:dyDescent="0.2">
      <c r="B633" s="396">
        <v>633</v>
      </c>
      <c r="C633" s="395" t="s">
        <v>1074</v>
      </c>
      <c r="D633" s="394" t="s">
        <v>1075</v>
      </c>
    </row>
    <row r="634" spans="2:5" x14ac:dyDescent="0.2">
      <c r="B634" s="396">
        <v>634</v>
      </c>
      <c r="C634" s="395" t="s">
        <v>1076</v>
      </c>
      <c r="D634" s="394" t="s">
        <v>1077</v>
      </c>
    </row>
    <row r="635" spans="2:5" x14ac:dyDescent="0.2">
      <c r="B635" s="396">
        <v>635</v>
      </c>
      <c r="C635" s="395" t="s">
        <v>1078</v>
      </c>
      <c r="D635" s="394" t="s">
        <v>1079</v>
      </c>
    </row>
    <row r="636" spans="2:5" x14ac:dyDescent="0.2">
      <c r="B636" s="396">
        <v>636</v>
      </c>
      <c r="C636" s="395" t="s">
        <v>1080</v>
      </c>
      <c r="D636" s="394" t="s">
        <v>1081</v>
      </c>
    </row>
    <row r="637" spans="2:5" x14ac:dyDescent="0.2">
      <c r="B637" s="396">
        <v>637</v>
      </c>
      <c r="C637" s="395" t="s">
        <v>1082</v>
      </c>
      <c r="D637" s="394" t="s">
        <v>1083</v>
      </c>
    </row>
    <row r="638" spans="2:5" x14ac:dyDescent="0.2">
      <c r="B638" s="396">
        <v>638</v>
      </c>
      <c r="C638" s="395" t="s">
        <v>1084</v>
      </c>
      <c r="D638" s="394" t="s">
        <v>1085</v>
      </c>
    </row>
    <row r="639" spans="2:5" x14ac:dyDescent="0.2">
      <c r="B639" s="396">
        <v>639</v>
      </c>
      <c r="C639" s="395" t="s">
        <v>1086</v>
      </c>
      <c r="D639" s="394" t="s">
        <v>1087</v>
      </c>
      <c r="E639" s="394" t="s">
        <v>1088</v>
      </c>
    </row>
    <row r="640" spans="2:5" x14ac:dyDescent="0.2">
      <c r="B640" s="396">
        <v>640</v>
      </c>
      <c r="C640" s="395" t="s">
        <v>1089</v>
      </c>
      <c r="D640" s="394" t="s">
        <v>1090</v>
      </c>
      <c r="E640" s="394" t="s">
        <v>1091</v>
      </c>
    </row>
    <row r="641" spans="2:5" x14ac:dyDescent="0.2">
      <c r="B641" s="396">
        <v>641</v>
      </c>
      <c r="C641" s="395" t="s">
        <v>1092</v>
      </c>
      <c r="D641" s="394" t="s">
        <v>1093</v>
      </c>
    </row>
    <row r="642" spans="2:5" x14ac:dyDescent="0.2">
      <c r="B642" s="396">
        <v>642</v>
      </c>
      <c r="C642" s="395" t="s">
        <v>1094</v>
      </c>
      <c r="D642" s="394" t="s">
        <v>1095</v>
      </c>
      <c r="E642" s="394" t="s">
        <v>1096</v>
      </c>
    </row>
    <row r="643" spans="2:5" x14ac:dyDescent="0.2">
      <c r="B643" s="396">
        <v>643</v>
      </c>
      <c r="C643" s="395" t="s">
        <v>1097</v>
      </c>
      <c r="D643" s="394" t="s">
        <v>1098</v>
      </c>
      <c r="E643" s="394" t="s">
        <v>1099</v>
      </c>
    </row>
    <row r="644" spans="2:5" x14ac:dyDescent="0.2">
      <c r="B644" s="396">
        <v>644</v>
      </c>
      <c r="C644" s="395" t="s">
        <v>1100</v>
      </c>
      <c r="D644" s="394" t="s">
        <v>1101</v>
      </c>
    </row>
    <row r="645" spans="2:5" x14ac:dyDescent="0.2">
      <c r="B645" s="396">
        <v>645</v>
      </c>
      <c r="C645" s="395" t="s">
        <v>1102</v>
      </c>
      <c r="D645" s="394" t="s">
        <v>1103</v>
      </c>
      <c r="E645" s="394" t="s">
        <v>1104</v>
      </c>
    </row>
    <row r="646" spans="2:5" x14ac:dyDescent="0.2">
      <c r="B646" s="396">
        <v>646</v>
      </c>
      <c r="C646" s="395" t="s">
        <v>1105</v>
      </c>
      <c r="D646" s="394" t="s">
        <v>1106</v>
      </c>
      <c r="E646" s="394" t="s">
        <v>1107</v>
      </c>
    </row>
    <row r="647" spans="2:5" x14ac:dyDescent="0.2">
      <c r="B647" s="396">
        <v>647</v>
      </c>
      <c r="C647" s="395" t="s">
        <v>1108</v>
      </c>
      <c r="D647" s="394" t="s">
        <v>1109</v>
      </c>
    </row>
    <row r="648" spans="2:5" x14ac:dyDescent="0.2">
      <c r="B648" s="396">
        <v>648</v>
      </c>
      <c r="C648" s="395" t="s">
        <v>1110</v>
      </c>
      <c r="D648" s="394" t="s">
        <v>1111</v>
      </c>
      <c r="E648" s="394" t="s">
        <v>1112</v>
      </c>
    </row>
    <row r="649" spans="2:5" x14ac:dyDescent="0.2">
      <c r="B649" s="396">
        <v>649</v>
      </c>
      <c r="C649" s="395" t="s">
        <v>185</v>
      </c>
      <c r="D649" s="394" t="s">
        <v>186</v>
      </c>
      <c r="E649" s="394" t="s">
        <v>1113</v>
      </c>
    </row>
    <row r="650" spans="2:5" x14ac:dyDescent="0.2">
      <c r="B650" s="396">
        <v>650</v>
      </c>
      <c r="C650" s="398" t="s">
        <v>1114</v>
      </c>
      <c r="D650" s="394" t="s">
        <v>1115</v>
      </c>
    </row>
    <row r="651" spans="2:5" x14ac:dyDescent="0.2">
      <c r="B651" s="396">
        <v>651</v>
      </c>
      <c r="C651" s="395" t="s">
        <v>1116</v>
      </c>
      <c r="D651" s="394" t="s">
        <v>1117</v>
      </c>
      <c r="E651" s="394" t="s">
        <v>1118</v>
      </c>
    </row>
    <row r="652" spans="2:5" x14ac:dyDescent="0.2">
      <c r="B652" s="396">
        <v>652</v>
      </c>
      <c r="C652" s="395" t="s">
        <v>1119</v>
      </c>
      <c r="D652" s="394" t="s">
        <v>1120</v>
      </c>
      <c r="E652" s="394" t="s">
        <v>1121</v>
      </c>
    </row>
    <row r="653" spans="2:5" x14ac:dyDescent="0.2">
      <c r="B653" s="396">
        <v>653</v>
      </c>
      <c r="C653" s="395" t="s">
        <v>1122</v>
      </c>
      <c r="D653" s="394" t="s">
        <v>1123</v>
      </c>
    </row>
    <row r="654" spans="2:5" x14ac:dyDescent="0.2">
      <c r="B654" s="396">
        <v>654</v>
      </c>
      <c r="C654" s="395" t="s">
        <v>1124</v>
      </c>
      <c r="D654" s="394" t="s">
        <v>1125</v>
      </c>
    </row>
    <row r="655" spans="2:5" x14ac:dyDescent="0.2">
      <c r="B655" s="396">
        <v>655</v>
      </c>
      <c r="C655" s="395" t="s">
        <v>1126</v>
      </c>
      <c r="D655" s="394" t="s">
        <v>1127</v>
      </c>
    </row>
    <row r="656" spans="2:5" x14ac:dyDescent="0.2">
      <c r="B656" s="396">
        <v>656</v>
      </c>
      <c r="C656" s="395" t="s">
        <v>1128</v>
      </c>
      <c r="D656" s="394" t="s">
        <v>1129</v>
      </c>
    </row>
    <row r="657" spans="2:4" x14ac:dyDescent="0.2">
      <c r="B657" s="396">
        <v>657</v>
      </c>
      <c r="C657" s="395" t="s">
        <v>1130</v>
      </c>
      <c r="D657" s="394" t="s">
        <v>1131</v>
      </c>
    </row>
    <row r="658" spans="2:4" x14ac:dyDescent="0.2">
      <c r="B658" s="396">
        <v>658</v>
      </c>
      <c r="C658" s="395" t="s">
        <v>1132</v>
      </c>
      <c r="D658" s="394" t="s">
        <v>1133</v>
      </c>
    </row>
    <row r="659" spans="2:4" x14ac:dyDescent="0.2">
      <c r="B659" s="396">
        <v>659</v>
      </c>
      <c r="C659" s="395" t="s">
        <v>1134</v>
      </c>
      <c r="D659" s="394" t="s">
        <v>1135</v>
      </c>
    </row>
    <row r="660" spans="2:4" x14ac:dyDescent="0.2">
      <c r="B660" s="396">
        <v>660</v>
      </c>
      <c r="C660" s="395" t="s">
        <v>1136</v>
      </c>
      <c r="D660" s="394" t="s">
        <v>1137</v>
      </c>
    </row>
    <row r="661" spans="2:4" x14ac:dyDescent="0.2">
      <c r="B661" s="396">
        <v>661</v>
      </c>
      <c r="C661" s="395" t="s">
        <v>1138</v>
      </c>
      <c r="D661" s="394" t="s">
        <v>1139</v>
      </c>
    </row>
    <row r="662" spans="2:4" x14ac:dyDescent="0.2">
      <c r="B662" s="396">
        <v>662</v>
      </c>
      <c r="C662" s="395" t="s">
        <v>1140</v>
      </c>
      <c r="D662" s="394" t="s">
        <v>1141</v>
      </c>
    </row>
    <row r="663" spans="2:4" x14ac:dyDescent="0.2">
      <c r="B663" s="396">
        <v>663</v>
      </c>
      <c r="C663" s="395" t="s">
        <v>1142</v>
      </c>
      <c r="D663" s="394" t="s">
        <v>1143</v>
      </c>
    </row>
    <row r="664" spans="2:4" x14ac:dyDescent="0.2">
      <c r="B664" s="396">
        <v>664</v>
      </c>
      <c r="C664" s="395" t="s">
        <v>1144</v>
      </c>
      <c r="D664" s="394" t="s">
        <v>1145</v>
      </c>
    </row>
    <row r="665" spans="2:4" x14ac:dyDescent="0.2">
      <c r="B665" s="396">
        <v>665</v>
      </c>
      <c r="C665" s="395" t="s">
        <v>131</v>
      </c>
      <c r="D665" s="394" t="s">
        <v>132</v>
      </c>
    </row>
    <row r="666" spans="2:4" x14ac:dyDescent="0.2">
      <c r="B666" s="396">
        <v>666</v>
      </c>
      <c r="C666" s="395" t="s">
        <v>60</v>
      </c>
      <c r="D666" s="394" t="s">
        <v>1146</v>
      </c>
    </row>
    <row r="667" spans="2:4" x14ac:dyDescent="0.2">
      <c r="B667" s="396">
        <v>667</v>
      </c>
      <c r="C667" s="395" t="s">
        <v>1147</v>
      </c>
      <c r="D667" s="394" t="s">
        <v>1148</v>
      </c>
    </row>
    <row r="668" spans="2:4" x14ac:dyDescent="0.2">
      <c r="B668" s="396">
        <v>668</v>
      </c>
      <c r="C668" s="395" t="s">
        <v>185</v>
      </c>
      <c r="D668" s="394" t="s">
        <v>186</v>
      </c>
    </row>
    <row r="669" spans="2:4" x14ac:dyDescent="0.2">
      <c r="B669" s="396">
        <v>669</v>
      </c>
      <c r="C669" s="395" t="s">
        <v>1149</v>
      </c>
      <c r="D669" s="394" t="s">
        <v>1150</v>
      </c>
    </row>
    <row r="670" spans="2:4" x14ac:dyDescent="0.2">
      <c r="B670" s="396">
        <v>670</v>
      </c>
      <c r="C670" s="395" t="s">
        <v>1151</v>
      </c>
      <c r="D670" s="394" t="s">
        <v>1152</v>
      </c>
    </row>
    <row r="671" spans="2:4" x14ac:dyDescent="0.2">
      <c r="B671" s="396">
        <v>671</v>
      </c>
      <c r="C671" s="395" t="s">
        <v>1153</v>
      </c>
      <c r="D671" s="394" t="s">
        <v>1153</v>
      </c>
    </row>
    <row r="672" spans="2:4" x14ac:dyDescent="0.2">
      <c r="B672" s="396">
        <v>672</v>
      </c>
      <c r="C672" s="395" t="s">
        <v>1154</v>
      </c>
      <c r="D672" s="394" t="s">
        <v>1155</v>
      </c>
    </row>
    <row r="673" spans="2:4" x14ac:dyDescent="0.2">
      <c r="B673" s="396">
        <v>673</v>
      </c>
      <c r="C673" s="398" t="s">
        <v>1156</v>
      </c>
      <c r="D673" s="394" t="s">
        <v>1157</v>
      </c>
    </row>
    <row r="674" spans="2:4" x14ac:dyDescent="0.2">
      <c r="B674" s="396">
        <v>674</v>
      </c>
      <c r="C674" s="395" t="s">
        <v>1158</v>
      </c>
      <c r="D674" s="394" t="s">
        <v>1159</v>
      </c>
    </row>
    <row r="675" spans="2:4" x14ac:dyDescent="0.2">
      <c r="B675" s="396">
        <v>675</v>
      </c>
      <c r="C675" s="395" t="s">
        <v>1160</v>
      </c>
      <c r="D675" s="394" t="s">
        <v>1120</v>
      </c>
    </row>
    <row r="676" spans="2:4" x14ac:dyDescent="0.2">
      <c r="B676" s="396">
        <v>676</v>
      </c>
      <c r="C676" s="395" t="s">
        <v>1161</v>
      </c>
      <c r="D676" s="394" t="s">
        <v>1162</v>
      </c>
    </row>
    <row r="677" spans="2:4" x14ac:dyDescent="0.2">
      <c r="B677" s="396">
        <v>677</v>
      </c>
      <c r="C677" s="395" t="s">
        <v>1163</v>
      </c>
      <c r="D677" s="394" t="s">
        <v>1164</v>
      </c>
    </row>
    <row r="678" spans="2:4" x14ac:dyDescent="0.2">
      <c r="B678" s="396">
        <v>678</v>
      </c>
      <c r="C678" s="395" t="s">
        <v>1126</v>
      </c>
      <c r="D678" s="394" t="s">
        <v>1127</v>
      </c>
    </row>
    <row r="679" spans="2:4" x14ac:dyDescent="0.2">
      <c r="B679" s="396">
        <v>679</v>
      </c>
      <c r="C679" s="395" t="s">
        <v>1130</v>
      </c>
      <c r="D679" s="394" t="s">
        <v>1131</v>
      </c>
    </row>
    <row r="680" spans="2:4" x14ac:dyDescent="0.2">
      <c r="B680" s="396">
        <v>680</v>
      </c>
      <c r="C680" s="395" t="s">
        <v>1134</v>
      </c>
      <c r="D680" s="394" t="s">
        <v>1135</v>
      </c>
    </row>
    <row r="681" spans="2:4" x14ac:dyDescent="0.2">
      <c r="B681" s="396">
        <v>681</v>
      </c>
      <c r="C681" s="395" t="s">
        <v>1165</v>
      </c>
      <c r="D681" s="394" t="s">
        <v>1166</v>
      </c>
    </row>
    <row r="682" spans="2:4" x14ac:dyDescent="0.2">
      <c r="B682" s="396">
        <v>682</v>
      </c>
      <c r="C682" s="395" t="s">
        <v>1012</v>
      </c>
      <c r="D682" s="394" t="s">
        <v>1013</v>
      </c>
    </row>
    <row r="683" spans="2:4" x14ac:dyDescent="0.2">
      <c r="B683" s="396">
        <v>683</v>
      </c>
      <c r="C683" s="395" t="s">
        <v>1167</v>
      </c>
      <c r="D683" s="394" t="s">
        <v>1168</v>
      </c>
    </row>
    <row r="684" spans="2:4" x14ac:dyDescent="0.2">
      <c r="B684" s="396">
        <v>684</v>
      </c>
      <c r="C684" s="395" t="s">
        <v>1169</v>
      </c>
      <c r="D684" s="394" t="s">
        <v>1170</v>
      </c>
    </row>
    <row r="685" spans="2:4" x14ac:dyDescent="0.2">
      <c r="B685" s="396">
        <v>685</v>
      </c>
      <c r="C685" s="395" t="s">
        <v>1171</v>
      </c>
      <c r="D685" s="394" t="s">
        <v>1172</v>
      </c>
    </row>
    <row r="686" spans="2:4" x14ac:dyDescent="0.2">
      <c r="B686" s="396">
        <v>686</v>
      </c>
      <c r="C686" s="395" t="s">
        <v>1173</v>
      </c>
      <c r="D686" s="394" t="s">
        <v>1174</v>
      </c>
    </row>
    <row r="687" spans="2:4" x14ac:dyDescent="0.2">
      <c r="B687" s="396">
        <v>687</v>
      </c>
      <c r="C687" s="395" t="s">
        <v>1175</v>
      </c>
      <c r="D687" s="394" t="s">
        <v>817</v>
      </c>
    </row>
    <row r="688" spans="2:4" x14ac:dyDescent="0.2">
      <c r="B688" s="396">
        <v>688</v>
      </c>
      <c r="C688" s="395" t="s">
        <v>1176</v>
      </c>
      <c r="D688" s="394" t="s">
        <v>1177</v>
      </c>
    </row>
    <row r="689" spans="2:4" x14ac:dyDescent="0.2">
      <c r="B689" s="396">
        <v>689</v>
      </c>
      <c r="C689" s="395" t="s">
        <v>1178</v>
      </c>
      <c r="D689" s="394" t="s">
        <v>1179</v>
      </c>
    </row>
    <row r="690" spans="2:4" x14ac:dyDescent="0.2">
      <c r="B690" s="396">
        <v>690</v>
      </c>
      <c r="C690" s="395" t="s">
        <v>60</v>
      </c>
      <c r="D690" s="394" t="s">
        <v>323</v>
      </c>
    </row>
    <row r="691" spans="2:4" x14ac:dyDescent="0.2">
      <c r="B691" s="396">
        <v>691</v>
      </c>
      <c r="C691" s="398" t="s">
        <v>1180</v>
      </c>
      <c r="D691" s="394" t="s">
        <v>1180</v>
      </c>
    </row>
    <row r="692" spans="2:4" x14ac:dyDescent="0.2">
      <c r="B692" s="396">
        <v>692</v>
      </c>
      <c r="C692" s="395" t="s">
        <v>801</v>
      </c>
      <c r="D692" s="394" t="s">
        <v>802</v>
      </c>
    </row>
    <row r="693" spans="2:4" x14ac:dyDescent="0.2">
      <c r="B693" s="396">
        <v>693</v>
      </c>
      <c r="C693" s="395" t="s">
        <v>1181</v>
      </c>
      <c r="D693" s="394" t="s">
        <v>1182</v>
      </c>
    </row>
    <row r="694" spans="2:4" x14ac:dyDescent="0.2">
      <c r="B694" s="396">
        <v>694</v>
      </c>
      <c r="C694" s="395" t="s">
        <v>1183</v>
      </c>
      <c r="D694" s="394" t="s">
        <v>1184</v>
      </c>
    </row>
    <row r="695" spans="2:4" x14ac:dyDescent="0.2">
      <c r="B695" s="396">
        <v>695</v>
      </c>
      <c r="C695" s="395" t="s">
        <v>1185</v>
      </c>
      <c r="D695" s="394" t="s">
        <v>1186</v>
      </c>
    </row>
    <row r="696" spans="2:4" x14ac:dyDescent="0.2">
      <c r="B696" s="396">
        <v>696</v>
      </c>
      <c r="C696" s="395" t="s">
        <v>1012</v>
      </c>
      <c r="D696" s="394" t="s">
        <v>1013</v>
      </c>
    </row>
    <row r="697" spans="2:4" x14ac:dyDescent="0.2">
      <c r="B697" s="396">
        <v>697</v>
      </c>
      <c r="C697" s="395" t="s">
        <v>1078</v>
      </c>
      <c r="D697" s="394" t="s">
        <v>1187</v>
      </c>
    </row>
    <row r="698" spans="2:4" x14ac:dyDescent="0.2">
      <c r="B698" s="396">
        <v>698</v>
      </c>
      <c r="C698" s="395" t="s">
        <v>1188</v>
      </c>
      <c r="D698" s="394" t="s">
        <v>1189</v>
      </c>
    </row>
    <row r="699" spans="2:4" x14ac:dyDescent="0.2">
      <c r="B699" s="396">
        <v>699</v>
      </c>
      <c r="C699" s="395" t="s">
        <v>816</v>
      </c>
      <c r="D699" s="394" t="s">
        <v>817</v>
      </c>
    </row>
    <row r="700" spans="2:4" x14ac:dyDescent="0.2">
      <c r="B700" s="396">
        <v>700</v>
      </c>
      <c r="C700" s="395" t="s">
        <v>818</v>
      </c>
      <c r="D700" s="394" t="s">
        <v>819</v>
      </c>
    </row>
    <row r="701" spans="2:4" x14ac:dyDescent="0.2">
      <c r="B701" s="396">
        <v>701</v>
      </c>
      <c r="C701" s="395" t="s">
        <v>76</v>
      </c>
      <c r="D701" s="394" t="s">
        <v>77</v>
      </c>
    </row>
    <row r="702" spans="2:4" x14ac:dyDescent="0.2">
      <c r="B702" s="396">
        <v>702</v>
      </c>
      <c r="C702" s="395" t="s">
        <v>821</v>
      </c>
      <c r="D702" s="394" t="s">
        <v>1017</v>
      </c>
    </row>
    <row r="703" spans="2:4" x14ac:dyDescent="0.2">
      <c r="B703" s="396">
        <v>703</v>
      </c>
      <c r="C703" s="395" t="s">
        <v>60</v>
      </c>
      <c r="D703" s="394" t="s">
        <v>323</v>
      </c>
    </row>
    <row r="704" spans="2:4" x14ac:dyDescent="0.2">
      <c r="B704" s="396">
        <v>704</v>
      </c>
      <c r="C704" s="395" t="s">
        <v>1190</v>
      </c>
      <c r="D704" s="394" t="s">
        <v>1191</v>
      </c>
    </row>
    <row r="705" spans="2:5" x14ac:dyDescent="0.2">
      <c r="B705" s="396">
        <v>705</v>
      </c>
      <c r="C705" s="395" t="s">
        <v>1192</v>
      </c>
      <c r="D705" s="394" t="s">
        <v>1193</v>
      </c>
    </row>
    <row r="706" spans="2:5" x14ac:dyDescent="0.2">
      <c r="B706" s="396">
        <v>706</v>
      </c>
      <c r="C706" s="395" t="s">
        <v>1194</v>
      </c>
      <c r="D706" s="394" t="s">
        <v>1195</v>
      </c>
    </row>
    <row r="707" spans="2:5" x14ac:dyDescent="0.2">
      <c r="B707" s="396">
        <v>707</v>
      </c>
      <c r="C707" s="395" t="s">
        <v>185</v>
      </c>
      <c r="D707" s="394" t="s">
        <v>186</v>
      </c>
    </row>
    <row r="708" spans="2:5" x14ac:dyDescent="0.2">
      <c r="B708" s="396">
        <v>708</v>
      </c>
      <c r="C708" s="395" t="s">
        <v>1196</v>
      </c>
      <c r="D708" s="394" t="s">
        <v>1197</v>
      </c>
    </row>
    <row r="709" spans="2:5" x14ac:dyDescent="0.2">
      <c r="B709" s="396">
        <v>709</v>
      </c>
      <c r="C709" s="395" t="s">
        <v>1198</v>
      </c>
      <c r="D709" s="394" t="s">
        <v>1199</v>
      </c>
    </row>
    <row r="710" spans="2:5" x14ac:dyDescent="0.2">
      <c r="B710" s="396">
        <v>710</v>
      </c>
      <c r="C710" s="395" t="s">
        <v>1200</v>
      </c>
      <c r="D710" s="394" t="s">
        <v>1201</v>
      </c>
    </row>
    <row r="711" spans="2:5" x14ac:dyDescent="0.2">
      <c r="B711" s="396">
        <v>711</v>
      </c>
      <c r="C711" s="395" t="s">
        <v>1202</v>
      </c>
      <c r="D711" s="394" t="s">
        <v>1203</v>
      </c>
    </row>
    <row r="712" spans="2:5" x14ac:dyDescent="0.2">
      <c r="B712" s="396">
        <v>712</v>
      </c>
      <c r="C712" s="395" t="s">
        <v>1204</v>
      </c>
      <c r="D712" s="394" t="s">
        <v>1205</v>
      </c>
    </row>
    <row r="713" spans="2:5" x14ac:dyDescent="0.2">
      <c r="B713" s="396">
        <v>713</v>
      </c>
      <c r="C713" s="395" t="s">
        <v>1206</v>
      </c>
      <c r="D713" s="394" t="s">
        <v>1207</v>
      </c>
    </row>
    <row r="714" spans="2:5" x14ac:dyDescent="0.2">
      <c r="B714" s="396">
        <v>714</v>
      </c>
      <c r="C714" s="395" t="s">
        <v>1208</v>
      </c>
      <c r="D714" s="394" t="s">
        <v>1209</v>
      </c>
    </row>
    <row r="715" spans="2:5" x14ac:dyDescent="0.2">
      <c r="B715" s="396">
        <v>715</v>
      </c>
      <c r="C715" s="395" t="s">
        <v>1210</v>
      </c>
      <c r="D715" s="394" t="s">
        <v>1211</v>
      </c>
    </row>
    <row r="716" spans="2:5" x14ac:dyDescent="0.2">
      <c r="B716" s="396">
        <v>716</v>
      </c>
      <c r="C716" s="395" t="s">
        <v>1212</v>
      </c>
      <c r="D716" s="394" t="s">
        <v>1213</v>
      </c>
    </row>
    <row r="717" spans="2:5" x14ac:dyDescent="0.2">
      <c r="B717" s="396">
        <v>717</v>
      </c>
      <c r="C717" s="395" t="s">
        <v>1214</v>
      </c>
      <c r="D717" s="394" t="s">
        <v>1215</v>
      </c>
    </row>
    <row r="718" spans="2:5" x14ac:dyDescent="0.2">
      <c r="B718" s="396">
        <v>718</v>
      </c>
      <c r="C718" s="395" t="s">
        <v>560</v>
      </c>
      <c r="D718" s="394" t="s">
        <v>561</v>
      </c>
    </row>
    <row r="719" spans="2:5" x14ac:dyDescent="0.2">
      <c r="B719" s="396">
        <v>719</v>
      </c>
      <c r="C719" s="395" t="s">
        <v>562</v>
      </c>
      <c r="D719" s="394" t="s">
        <v>563</v>
      </c>
    </row>
    <row r="720" spans="2:5" x14ac:dyDescent="0.2">
      <c r="B720" s="396">
        <v>720</v>
      </c>
      <c r="C720" s="395" t="s">
        <v>1216</v>
      </c>
      <c r="D720" s="394" t="s">
        <v>1217</v>
      </c>
      <c r="E720" s="394" t="s">
        <v>1218</v>
      </c>
    </row>
    <row r="721" spans="2:5" x14ac:dyDescent="0.2">
      <c r="B721" s="396">
        <v>721</v>
      </c>
      <c r="E721" s="394" t="s">
        <v>1219</v>
      </c>
    </row>
    <row r="722" spans="2:5" x14ac:dyDescent="0.2">
      <c r="B722" s="396">
        <v>722</v>
      </c>
      <c r="C722" s="395" t="s">
        <v>1220</v>
      </c>
      <c r="D722" s="394" t="s">
        <v>1221</v>
      </c>
    </row>
    <row r="723" spans="2:5" x14ac:dyDescent="0.2">
      <c r="B723" s="396">
        <v>723</v>
      </c>
      <c r="C723" s="395" t="s">
        <v>1222</v>
      </c>
      <c r="D723" s="394" t="s">
        <v>1223</v>
      </c>
      <c r="E723" s="394" t="s">
        <v>1224</v>
      </c>
    </row>
    <row r="724" spans="2:5" x14ac:dyDescent="0.2">
      <c r="B724" s="396">
        <v>724</v>
      </c>
      <c r="C724" s="395" t="s">
        <v>1225</v>
      </c>
      <c r="D724" s="394" t="s">
        <v>1226</v>
      </c>
      <c r="E724" s="394" t="s">
        <v>1227</v>
      </c>
    </row>
    <row r="725" spans="2:5" x14ac:dyDescent="0.2">
      <c r="B725" s="396">
        <v>725</v>
      </c>
    </row>
    <row r="726" spans="2:5" x14ac:dyDescent="0.2">
      <c r="B726" s="396">
        <v>726</v>
      </c>
      <c r="E726" s="394" t="s">
        <v>1228</v>
      </c>
    </row>
    <row r="727" spans="2:5" x14ac:dyDescent="0.2">
      <c r="B727" s="396">
        <v>727</v>
      </c>
      <c r="E727" s="394" t="s">
        <v>1229</v>
      </c>
    </row>
    <row r="728" spans="2:5" x14ac:dyDescent="0.2">
      <c r="B728" s="396">
        <v>728</v>
      </c>
    </row>
    <row r="729" spans="2:5" ht="14.25" x14ac:dyDescent="0.25">
      <c r="B729" s="396">
        <v>729</v>
      </c>
      <c r="C729" s="395" t="s">
        <v>1230</v>
      </c>
      <c r="D729" s="394" t="s">
        <v>1231</v>
      </c>
      <c r="E729" s="511" t="s">
        <v>2</v>
      </c>
    </row>
    <row r="730" spans="2:5" x14ac:dyDescent="0.2">
      <c r="B730" s="396">
        <v>730</v>
      </c>
      <c r="C730" s="395" t="s">
        <v>1232</v>
      </c>
      <c r="D730" s="394" t="s">
        <v>1233</v>
      </c>
      <c r="E730" s="394" t="s">
        <v>1234</v>
      </c>
    </row>
    <row r="731" spans="2:5" x14ac:dyDescent="0.2">
      <c r="B731" s="396">
        <v>731</v>
      </c>
      <c r="C731" s="395" t="s">
        <v>1376</v>
      </c>
      <c r="D731" s="394" t="s">
        <v>1235</v>
      </c>
    </row>
    <row r="732" spans="2:5" x14ac:dyDescent="0.2">
      <c r="B732" s="396">
        <v>732</v>
      </c>
      <c r="C732" s="395" t="s">
        <v>1377</v>
      </c>
      <c r="D732" s="394" t="s">
        <v>1236</v>
      </c>
    </row>
    <row r="733" spans="2:5" x14ac:dyDescent="0.2">
      <c r="B733" s="396">
        <v>733</v>
      </c>
      <c r="C733" s="395" t="s">
        <v>1237</v>
      </c>
      <c r="D733" s="394" t="s">
        <v>1238</v>
      </c>
    </row>
    <row r="734" spans="2:5" x14ac:dyDescent="0.2">
      <c r="B734" s="396">
        <v>734</v>
      </c>
      <c r="C734" s="395" t="s">
        <v>1239</v>
      </c>
      <c r="D734" s="394" t="s">
        <v>1240</v>
      </c>
    </row>
    <row r="735" spans="2:5" x14ac:dyDescent="0.2">
      <c r="B735" s="396">
        <v>735</v>
      </c>
      <c r="C735" s="395" t="s">
        <v>1241</v>
      </c>
      <c r="D735" s="394" t="s">
        <v>1242</v>
      </c>
    </row>
    <row r="736" spans="2:5" x14ac:dyDescent="0.2">
      <c r="B736" s="396">
        <v>736</v>
      </c>
      <c r="C736" s="395" t="s">
        <v>1243</v>
      </c>
      <c r="D736" s="394" t="s">
        <v>1244</v>
      </c>
    </row>
    <row r="737" spans="2:4" x14ac:dyDescent="0.2">
      <c r="B737" s="396">
        <v>737</v>
      </c>
      <c r="C737" s="395" t="s">
        <v>1373</v>
      </c>
      <c r="D737" s="394" t="s">
        <v>1374</v>
      </c>
    </row>
    <row r="738" spans="2:4" x14ac:dyDescent="0.2">
      <c r="B738" s="396">
        <v>738</v>
      </c>
      <c r="C738" s="395" t="s">
        <v>1245</v>
      </c>
      <c r="D738" s="394" t="s">
        <v>1246</v>
      </c>
    </row>
    <row r="739" spans="2:4" x14ac:dyDescent="0.2">
      <c r="B739" s="396">
        <v>739</v>
      </c>
      <c r="C739" s="395" t="s">
        <v>1247</v>
      </c>
      <c r="D739" s="394" t="s">
        <v>1248</v>
      </c>
    </row>
    <row r="740" spans="2:4" x14ac:dyDescent="0.2">
      <c r="B740" s="396">
        <v>740</v>
      </c>
      <c r="C740" s="395" t="s">
        <v>1249</v>
      </c>
      <c r="D740" s="394" t="s">
        <v>1250</v>
      </c>
    </row>
    <row r="741" spans="2:4" x14ac:dyDescent="0.2">
      <c r="B741" s="396">
        <v>741</v>
      </c>
      <c r="C741" s="395" t="s">
        <v>1251</v>
      </c>
      <c r="D741" s="394" t="s">
        <v>1252</v>
      </c>
    </row>
    <row r="742" spans="2:4" x14ac:dyDescent="0.2">
      <c r="B742" s="396">
        <v>742</v>
      </c>
      <c r="C742" s="395" t="s">
        <v>1253</v>
      </c>
      <c r="D742" s="394" t="s">
        <v>1254</v>
      </c>
    </row>
    <row r="743" spans="2:4" x14ac:dyDescent="0.2">
      <c r="B743" s="396">
        <v>743</v>
      </c>
      <c r="C743" s="395" t="s">
        <v>1255</v>
      </c>
      <c r="D743" s="394" t="s">
        <v>1256</v>
      </c>
    </row>
    <row r="744" spans="2:4" x14ac:dyDescent="0.2">
      <c r="B744" s="396">
        <v>744</v>
      </c>
      <c r="C744" s="395" t="s">
        <v>1257</v>
      </c>
      <c r="D744" s="394" t="s">
        <v>1258</v>
      </c>
    </row>
    <row r="745" spans="2:4" x14ac:dyDescent="0.2">
      <c r="B745" s="396">
        <v>745</v>
      </c>
      <c r="C745" s="395" t="s">
        <v>1259</v>
      </c>
      <c r="D745" s="394" t="s">
        <v>1260</v>
      </c>
    </row>
    <row r="746" spans="2:4" x14ac:dyDescent="0.2">
      <c r="B746" s="396">
        <v>746</v>
      </c>
      <c r="C746" s="395" t="s">
        <v>1261</v>
      </c>
      <c r="D746" s="394" t="s">
        <v>1262</v>
      </c>
    </row>
    <row r="747" spans="2:4" x14ac:dyDescent="0.2">
      <c r="B747" s="396">
        <v>747</v>
      </c>
      <c r="C747" s="395" t="s">
        <v>1263</v>
      </c>
      <c r="D747" s="394" t="s">
        <v>1264</v>
      </c>
    </row>
    <row r="748" spans="2:4" x14ac:dyDescent="0.2">
      <c r="B748" s="396">
        <v>748</v>
      </c>
      <c r="C748" s="395" t="s">
        <v>1265</v>
      </c>
      <c r="D748" s="394" t="s">
        <v>1266</v>
      </c>
    </row>
    <row r="749" spans="2:4" x14ac:dyDescent="0.2">
      <c r="B749" s="396">
        <v>749</v>
      </c>
      <c r="C749" s="395" t="s">
        <v>1267</v>
      </c>
      <c r="D749" s="394" t="s">
        <v>1268</v>
      </c>
    </row>
    <row r="750" spans="2:4" x14ac:dyDescent="0.2">
      <c r="B750" s="396">
        <v>750</v>
      </c>
      <c r="C750" s="395" t="s">
        <v>1269</v>
      </c>
      <c r="D750" s="394" t="s">
        <v>1270</v>
      </c>
    </row>
    <row r="751" spans="2:4" x14ac:dyDescent="0.2">
      <c r="B751" s="396">
        <v>751</v>
      </c>
      <c r="C751" s="395" t="s">
        <v>1271</v>
      </c>
      <c r="D751" s="394" t="s">
        <v>1272</v>
      </c>
    </row>
    <row r="752" spans="2:4" x14ac:dyDescent="0.2">
      <c r="B752" s="396">
        <v>752</v>
      </c>
      <c r="C752" s="395" t="s">
        <v>1273</v>
      </c>
      <c r="D752" s="394" t="s">
        <v>1274</v>
      </c>
    </row>
    <row r="753" spans="2:4" x14ac:dyDescent="0.2">
      <c r="B753" s="396">
        <v>753</v>
      </c>
      <c r="C753" s="395" t="s">
        <v>1275</v>
      </c>
      <c r="D753" s="394" t="s">
        <v>1276</v>
      </c>
    </row>
    <row r="754" spans="2:4" x14ac:dyDescent="0.2">
      <c r="B754" s="396">
        <v>754</v>
      </c>
      <c r="C754" s="395" t="s">
        <v>1277</v>
      </c>
      <c r="D754" s="394" t="s">
        <v>1278</v>
      </c>
    </row>
    <row r="755" spans="2:4" x14ac:dyDescent="0.2">
      <c r="B755" s="396">
        <v>755</v>
      </c>
      <c r="C755" s="395" t="s">
        <v>1279</v>
      </c>
      <c r="D755" s="394" t="s">
        <v>1280</v>
      </c>
    </row>
    <row r="756" spans="2:4" x14ac:dyDescent="0.2">
      <c r="B756" s="396">
        <v>756</v>
      </c>
      <c r="C756" s="395" t="s">
        <v>1281</v>
      </c>
      <c r="D756" s="394" t="s">
        <v>1282</v>
      </c>
    </row>
    <row r="757" spans="2:4" x14ac:dyDescent="0.2">
      <c r="B757" s="396">
        <v>757</v>
      </c>
      <c r="C757" s="395" t="s">
        <v>1283</v>
      </c>
      <c r="D757" s="394" t="s">
        <v>1284</v>
      </c>
    </row>
    <row r="758" spans="2:4" x14ac:dyDescent="0.2">
      <c r="B758" s="396">
        <v>758</v>
      </c>
      <c r="C758" s="395" t="s">
        <v>1285</v>
      </c>
      <c r="D758" s="394" t="s">
        <v>1286</v>
      </c>
    </row>
    <row r="759" spans="2:4" x14ac:dyDescent="0.2">
      <c r="B759" s="396">
        <v>759</v>
      </c>
      <c r="C759" s="395" t="s">
        <v>1287</v>
      </c>
      <c r="D759" s="394" t="s">
        <v>1288</v>
      </c>
    </row>
    <row r="760" spans="2:4" x14ac:dyDescent="0.2">
      <c r="B760" s="396">
        <v>760</v>
      </c>
      <c r="C760" s="395" t="s">
        <v>1289</v>
      </c>
      <c r="D760" s="394" t="s">
        <v>1290</v>
      </c>
    </row>
    <row r="761" spans="2:4" x14ac:dyDescent="0.2">
      <c r="B761" s="396">
        <v>761</v>
      </c>
      <c r="C761" s="395" t="s">
        <v>1291</v>
      </c>
      <c r="D761" s="394" t="s">
        <v>1292</v>
      </c>
    </row>
    <row r="762" spans="2:4" x14ac:dyDescent="0.2">
      <c r="B762" s="396">
        <v>762</v>
      </c>
      <c r="C762" s="395" t="s">
        <v>1293</v>
      </c>
      <c r="D762" s="394" t="s">
        <v>1294</v>
      </c>
    </row>
    <row r="763" spans="2:4" x14ac:dyDescent="0.2">
      <c r="B763" s="396">
        <v>763</v>
      </c>
      <c r="C763" s="395" t="s">
        <v>1295</v>
      </c>
      <c r="D763" s="394" t="s">
        <v>1296</v>
      </c>
    </row>
    <row r="764" spans="2:4" x14ac:dyDescent="0.2">
      <c r="B764" s="396">
        <v>764</v>
      </c>
      <c r="C764" s="395" t="s">
        <v>1297</v>
      </c>
      <c r="D764" s="394" t="s">
        <v>1298</v>
      </c>
    </row>
    <row r="765" spans="2:4" x14ac:dyDescent="0.2">
      <c r="B765" s="396">
        <v>765</v>
      </c>
      <c r="C765" s="395" t="s">
        <v>1299</v>
      </c>
      <c r="D765" s="394" t="s">
        <v>1300</v>
      </c>
    </row>
    <row r="766" spans="2:4" x14ac:dyDescent="0.2">
      <c r="B766" s="396">
        <v>766</v>
      </c>
      <c r="C766" s="395" t="s">
        <v>1301</v>
      </c>
      <c r="D766" s="394" t="s">
        <v>1302</v>
      </c>
    </row>
    <row r="767" spans="2:4" x14ac:dyDescent="0.2">
      <c r="B767" s="396">
        <v>767</v>
      </c>
      <c r="C767" s="395" t="s">
        <v>1303</v>
      </c>
      <c r="D767" s="394" t="s">
        <v>1304</v>
      </c>
    </row>
    <row r="768" spans="2:4" x14ac:dyDescent="0.2">
      <c r="B768" s="396">
        <v>768</v>
      </c>
      <c r="C768" s="395" t="s">
        <v>1305</v>
      </c>
      <c r="D768" s="394" t="s">
        <v>1306</v>
      </c>
    </row>
    <row r="769" spans="2:5" x14ac:dyDescent="0.2">
      <c r="B769" s="396">
        <v>769</v>
      </c>
      <c r="C769" s="395" t="s">
        <v>1307</v>
      </c>
      <c r="D769" s="394" t="s">
        <v>1308</v>
      </c>
    </row>
    <row r="770" spans="2:5" x14ac:dyDescent="0.2">
      <c r="B770" s="396">
        <v>770</v>
      </c>
      <c r="C770" s="395" t="s">
        <v>1309</v>
      </c>
      <c r="D770" s="394" t="s">
        <v>1310</v>
      </c>
    </row>
    <row r="771" spans="2:5" x14ac:dyDescent="0.2">
      <c r="B771" s="396">
        <v>771</v>
      </c>
      <c r="C771" s="395" t="s">
        <v>1311</v>
      </c>
      <c r="D771" s="394" t="s">
        <v>1312</v>
      </c>
    </row>
    <row r="772" spans="2:5" x14ac:dyDescent="0.2">
      <c r="B772" s="396">
        <v>772</v>
      </c>
      <c r="C772" s="395" t="s">
        <v>1313</v>
      </c>
      <c r="D772" s="394" t="s">
        <v>1314</v>
      </c>
    </row>
    <row r="773" spans="2:5" x14ac:dyDescent="0.2">
      <c r="B773" s="396">
        <v>773</v>
      </c>
      <c r="C773" s="395" t="s">
        <v>1315</v>
      </c>
      <c r="D773" s="394" t="s">
        <v>1316</v>
      </c>
    </row>
    <row r="774" spans="2:5" x14ac:dyDescent="0.2">
      <c r="B774" s="396">
        <v>774</v>
      </c>
      <c r="C774" s="395" t="s">
        <v>1317</v>
      </c>
      <c r="D774" s="394" t="s">
        <v>1318</v>
      </c>
    </row>
    <row r="775" spans="2:5" x14ac:dyDescent="0.2">
      <c r="B775" s="396">
        <v>775</v>
      </c>
      <c r="C775" s="395" t="s">
        <v>1319</v>
      </c>
      <c r="D775" s="394" t="s">
        <v>1320</v>
      </c>
      <c r="E775" s="394" t="s">
        <v>1321</v>
      </c>
    </row>
    <row r="776" spans="2:5" x14ac:dyDescent="0.2">
      <c r="B776" s="396">
        <v>776</v>
      </c>
      <c r="C776" s="395" t="s">
        <v>1322</v>
      </c>
      <c r="D776" s="394" t="s">
        <v>1323</v>
      </c>
      <c r="E776" s="394" t="s">
        <v>1324</v>
      </c>
    </row>
    <row r="777" spans="2:5" x14ac:dyDescent="0.2">
      <c r="B777" s="396">
        <v>777</v>
      </c>
      <c r="C777" s="395" t="s">
        <v>1325</v>
      </c>
      <c r="D777" s="394" t="s">
        <v>1326</v>
      </c>
      <c r="E777" s="394" t="s">
        <v>1327</v>
      </c>
    </row>
    <row r="778" spans="2:5" x14ac:dyDescent="0.2">
      <c r="B778" s="396">
        <v>778</v>
      </c>
      <c r="C778" s="395" t="s">
        <v>1328</v>
      </c>
      <c r="D778" s="394" t="s">
        <v>1217</v>
      </c>
      <c r="E778" s="394" t="s">
        <v>1329</v>
      </c>
    </row>
    <row r="779" spans="2:5" x14ac:dyDescent="0.2">
      <c r="B779" s="396">
        <v>779</v>
      </c>
    </row>
    <row r="780" spans="2:5" x14ac:dyDescent="0.2">
      <c r="B780" s="396">
        <v>780</v>
      </c>
    </row>
    <row r="781" spans="2:5" x14ac:dyDescent="0.2">
      <c r="B781" s="396">
        <v>781</v>
      </c>
    </row>
    <row r="782" spans="2:5" x14ac:dyDescent="0.2">
      <c r="B782" s="396">
        <v>782</v>
      </c>
    </row>
    <row r="783" spans="2:5" x14ac:dyDescent="0.2">
      <c r="B783" s="396">
        <v>783</v>
      </c>
    </row>
    <row r="784" spans="2:5" x14ac:dyDescent="0.2">
      <c r="B784" s="396">
        <v>784</v>
      </c>
    </row>
    <row r="785" spans="2:2" x14ac:dyDescent="0.2">
      <c r="B785" s="396">
        <v>785</v>
      </c>
    </row>
    <row r="786" spans="2:2" x14ac:dyDescent="0.2">
      <c r="B786" s="396">
        <v>786</v>
      </c>
    </row>
    <row r="787" spans="2:2" x14ac:dyDescent="0.2">
      <c r="B787" s="396">
        <v>787</v>
      </c>
    </row>
    <row r="788" spans="2:2" x14ac:dyDescent="0.2">
      <c r="B788" s="396">
        <v>788</v>
      </c>
    </row>
    <row r="789" spans="2:2" x14ac:dyDescent="0.2">
      <c r="B789" s="396">
        <v>789</v>
      </c>
    </row>
    <row r="790" spans="2:2" x14ac:dyDescent="0.2">
      <c r="B790" s="396">
        <v>790</v>
      </c>
    </row>
    <row r="791" spans="2:2" x14ac:dyDescent="0.2">
      <c r="B791" s="396">
        <v>791</v>
      </c>
    </row>
    <row r="792" spans="2:2" x14ac:dyDescent="0.2">
      <c r="B792" s="396">
        <v>792</v>
      </c>
    </row>
    <row r="793" spans="2:2" x14ac:dyDescent="0.2">
      <c r="B793" s="396">
        <v>793</v>
      </c>
    </row>
    <row r="794" spans="2:2" x14ac:dyDescent="0.2">
      <c r="B794" s="396">
        <v>794</v>
      </c>
    </row>
    <row r="795" spans="2:2" x14ac:dyDescent="0.2">
      <c r="B795" s="396">
        <v>795</v>
      </c>
    </row>
    <row r="796" spans="2:2" x14ac:dyDescent="0.2">
      <c r="B796" s="396">
        <v>796</v>
      </c>
    </row>
    <row r="797" spans="2:2" x14ac:dyDescent="0.2">
      <c r="B797" s="396">
        <v>797</v>
      </c>
    </row>
    <row r="798" spans="2:2" x14ac:dyDescent="0.2">
      <c r="B798" s="396">
        <v>798</v>
      </c>
    </row>
    <row r="799" spans="2:2" x14ac:dyDescent="0.2">
      <c r="B799" s="396">
        <v>799</v>
      </c>
    </row>
    <row r="800" spans="2:2" x14ac:dyDescent="0.2">
      <c r="B800" s="396">
        <v>800</v>
      </c>
    </row>
    <row r="801" spans="2:2" x14ac:dyDescent="0.2">
      <c r="B801" s="396">
        <v>801</v>
      </c>
    </row>
    <row r="802" spans="2:2" x14ac:dyDescent="0.2">
      <c r="B802" s="396">
        <v>802</v>
      </c>
    </row>
    <row r="803" spans="2:2" x14ac:dyDescent="0.2">
      <c r="B803" s="396">
        <v>803</v>
      </c>
    </row>
    <row r="804" spans="2:2" x14ac:dyDescent="0.2">
      <c r="B804" s="396">
        <v>804</v>
      </c>
    </row>
    <row r="805" spans="2:2" x14ac:dyDescent="0.2">
      <c r="B805" s="396">
        <v>805</v>
      </c>
    </row>
    <row r="806" spans="2:2" x14ac:dyDescent="0.2">
      <c r="B806" s="396">
        <v>806</v>
      </c>
    </row>
    <row r="807" spans="2:2" x14ac:dyDescent="0.2">
      <c r="B807" s="396">
        <v>807</v>
      </c>
    </row>
    <row r="808" spans="2:2" x14ac:dyDescent="0.2">
      <c r="B808" s="396">
        <v>808</v>
      </c>
    </row>
    <row r="809" spans="2:2" x14ac:dyDescent="0.2">
      <c r="B809" s="396">
        <v>809</v>
      </c>
    </row>
    <row r="810" spans="2:2" x14ac:dyDescent="0.2">
      <c r="B810" s="396">
        <v>810</v>
      </c>
    </row>
    <row r="811" spans="2:2" x14ac:dyDescent="0.2">
      <c r="B811" s="396">
        <v>811</v>
      </c>
    </row>
    <row r="812" spans="2:2" x14ac:dyDescent="0.2">
      <c r="B812" s="396">
        <v>812</v>
      </c>
    </row>
    <row r="813" spans="2:2" x14ac:dyDescent="0.2">
      <c r="B813" s="396">
        <v>813</v>
      </c>
    </row>
    <row r="814" spans="2:2" x14ac:dyDescent="0.2">
      <c r="B814" s="396">
        <v>814</v>
      </c>
    </row>
    <row r="815" spans="2:2" x14ac:dyDescent="0.2">
      <c r="B815" s="396">
        <v>815</v>
      </c>
    </row>
    <row r="816" spans="2:2" x14ac:dyDescent="0.2">
      <c r="B816" s="396">
        <v>816</v>
      </c>
    </row>
    <row r="817" spans="2:2" x14ac:dyDescent="0.2">
      <c r="B817" s="396">
        <v>817</v>
      </c>
    </row>
    <row r="818" spans="2:2" x14ac:dyDescent="0.2">
      <c r="B818" s="396">
        <v>818</v>
      </c>
    </row>
    <row r="819" spans="2:2" x14ac:dyDescent="0.2">
      <c r="B819" s="396">
        <v>819</v>
      </c>
    </row>
    <row r="820" spans="2:2" x14ac:dyDescent="0.2">
      <c r="B820" s="396">
        <v>820</v>
      </c>
    </row>
    <row r="821" spans="2:2" x14ac:dyDescent="0.2">
      <c r="B821" s="396">
        <v>821</v>
      </c>
    </row>
    <row r="822" spans="2:2" x14ac:dyDescent="0.2">
      <c r="B822" s="396">
        <v>822</v>
      </c>
    </row>
    <row r="823" spans="2:2" x14ac:dyDescent="0.2">
      <c r="B823" s="396">
        <v>823</v>
      </c>
    </row>
    <row r="824" spans="2:2" x14ac:dyDescent="0.2">
      <c r="B824" s="396">
        <v>824</v>
      </c>
    </row>
    <row r="825" spans="2:2" x14ac:dyDescent="0.2">
      <c r="B825" s="396">
        <v>825</v>
      </c>
    </row>
    <row r="826" spans="2:2" x14ac:dyDescent="0.2">
      <c r="B826" s="396">
        <v>826</v>
      </c>
    </row>
    <row r="827" spans="2:2" x14ac:dyDescent="0.2">
      <c r="B827" s="396">
        <v>827</v>
      </c>
    </row>
    <row r="828" spans="2:2" x14ac:dyDescent="0.2">
      <c r="B828" s="396">
        <v>828</v>
      </c>
    </row>
    <row r="829" spans="2:2" x14ac:dyDescent="0.2">
      <c r="B829" s="396">
        <v>829</v>
      </c>
    </row>
    <row r="830" spans="2:2" x14ac:dyDescent="0.2">
      <c r="B830" s="396">
        <v>830</v>
      </c>
    </row>
    <row r="831" spans="2:2" x14ac:dyDescent="0.2">
      <c r="B831" s="396">
        <v>831</v>
      </c>
    </row>
    <row r="832" spans="2:2" x14ac:dyDescent="0.2">
      <c r="B832" s="396">
        <v>832</v>
      </c>
    </row>
    <row r="833" spans="2:2" x14ac:dyDescent="0.2">
      <c r="B833" s="396">
        <v>833</v>
      </c>
    </row>
    <row r="834" spans="2:2" x14ac:dyDescent="0.2">
      <c r="B834" s="396">
        <v>834</v>
      </c>
    </row>
    <row r="835" spans="2:2" x14ac:dyDescent="0.2">
      <c r="B835" s="396">
        <v>835</v>
      </c>
    </row>
    <row r="836" spans="2:2" x14ac:dyDescent="0.2">
      <c r="B836" s="396">
        <v>836</v>
      </c>
    </row>
    <row r="837" spans="2:2" x14ac:dyDescent="0.2">
      <c r="B837" s="396">
        <v>837</v>
      </c>
    </row>
    <row r="838" spans="2:2" x14ac:dyDescent="0.2">
      <c r="B838" s="396">
        <v>838</v>
      </c>
    </row>
    <row r="839" spans="2:2" x14ac:dyDescent="0.2">
      <c r="B839" s="396">
        <v>839</v>
      </c>
    </row>
    <row r="840" spans="2:2" x14ac:dyDescent="0.2">
      <c r="B840" s="396">
        <v>840</v>
      </c>
    </row>
    <row r="841" spans="2:2" x14ac:dyDescent="0.2">
      <c r="B841" s="396">
        <v>841</v>
      </c>
    </row>
    <row r="842" spans="2:2" x14ac:dyDescent="0.2">
      <c r="B842" s="396">
        <v>842</v>
      </c>
    </row>
    <row r="843" spans="2:2" x14ac:dyDescent="0.2">
      <c r="B843" s="396">
        <v>843</v>
      </c>
    </row>
    <row r="844" spans="2:2" x14ac:dyDescent="0.2">
      <c r="B844" s="396">
        <v>844</v>
      </c>
    </row>
    <row r="845" spans="2:2" x14ac:dyDescent="0.2">
      <c r="B845" s="396">
        <v>845</v>
      </c>
    </row>
    <row r="846" spans="2:2" x14ac:dyDescent="0.2">
      <c r="B846" s="396">
        <v>846</v>
      </c>
    </row>
    <row r="847" spans="2:2" x14ac:dyDescent="0.2">
      <c r="B847" s="396">
        <v>847</v>
      </c>
    </row>
    <row r="848" spans="2:2" x14ac:dyDescent="0.2">
      <c r="B848" s="396">
        <v>848</v>
      </c>
    </row>
    <row r="849" spans="2:2" x14ac:dyDescent="0.2">
      <c r="B849" s="396">
        <v>849</v>
      </c>
    </row>
    <row r="850" spans="2:2" x14ac:dyDescent="0.2">
      <c r="B850" s="396">
        <v>850</v>
      </c>
    </row>
    <row r="851" spans="2:2" x14ac:dyDescent="0.2">
      <c r="B851" s="396">
        <v>851</v>
      </c>
    </row>
    <row r="852" spans="2:2" x14ac:dyDescent="0.2">
      <c r="B852" s="396">
        <v>852</v>
      </c>
    </row>
    <row r="853" spans="2:2" x14ac:dyDescent="0.2">
      <c r="B853" s="396">
        <v>853</v>
      </c>
    </row>
    <row r="854" spans="2:2" x14ac:dyDescent="0.2">
      <c r="B854" s="396">
        <v>854</v>
      </c>
    </row>
    <row r="855" spans="2:2" x14ac:dyDescent="0.2">
      <c r="B855" s="396">
        <v>855</v>
      </c>
    </row>
    <row r="856" spans="2:2" x14ac:dyDescent="0.2">
      <c r="B856" s="396">
        <v>856</v>
      </c>
    </row>
    <row r="857" spans="2:2" x14ac:dyDescent="0.2">
      <c r="B857" s="396">
        <v>857</v>
      </c>
    </row>
    <row r="858" spans="2:2" x14ac:dyDescent="0.2">
      <c r="B858" s="396">
        <v>858</v>
      </c>
    </row>
    <row r="859" spans="2:2" x14ac:dyDescent="0.2">
      <c r="B859" s="396">
        <v>859</v>
      </c>
    </row>
    <row r="860" spans="2:2" x14ac:dyDescent="0.2">
      <c r="B860" s="396">
        <v>860</v>
      </c>
    </row>
    <row r="861" spans="2:2" x14ac:dyDescent="0.2">
      <c r="B861" s="396">
        <v>861</v>
      </c>
    </row>
    <row r="862" spans="2:2" x14ac:dyDescent="0.2">
      <c r="B862" s="396">
        <v>862</v>
      </c>
    </row>
    <row r="863" spans="2:2" x14ac:dyDescent="0.2">
      <c r="B863" s="396">
        <v>863</v>
      </c>
    </row>
    <row r="864" spans="2:2" x14ac:dyDescent="0.2">
      <c r="B864" s="396">
        <v>864</v>
      </c>
    </row>
    <row r="865" spans="2:2" x14ac:dyDescent="0.2">
      <c r="B865" s="396">
        <v>865</v>
      </c>
    </row>
    <row r="866" spans="2:2" x14ac:dyDescent="0.2">
      <c r="B866" s="396">
        <v>866</v>
      </c>
    </row>
    <row r="867" spans="2:2" x14ac:dyDescent="0.2">
      <c r="B867" s="396">
        <v>867</v>
      </c>
    </row>
    <row r="868" spans="2:2" x14ac:dyDescent="0.2">
      <c r="B868" s="396">
        <v>868</v>
      </c>
    </row>
    <row r="869" spans="2:2" x14ac:dyDescent="0.2">
      <c r="B869" s="396">
        <v>869</v>
      </c>
    </row>
    <row r="870" spans="2:2" x14ac:dyDescent="0.2">
      <c r="B870" s="396">
        <v>870</v>
      </c>
    </row>
    <row r="871" spans="2:2" x14ac:dyDescent="0.2">
      <c r="B871" s="396">
        <v>871</v>
      </c>
    </row>
    <row r="872" spans="2:2" x14ac:dyDescent="0.2">
      <c r="B872" s="396">
        <v>872</v>
      </c>
    </row>
    <row r="873" spans="2:2" x14ac:dyDescent="0.2">
      <c r="B873" s="396">
        <v>873</v>
      </c>
    </row>
    <row r="874" spans="2:2" x14ac:dyDescent="0.2">
      <c r="B874" s="396">
        <v>874</v>
      </c>
    </row>
    <row r="875" spans="2:2" x14ac:dyDescent="0.2">
      <c r="B875" s="396">
        <v>875</v>
      </c>
    </row>
    <row r="876" spans="2:2" x14ac:dyDescent="0.2">
      <c r="B876" s="396">
        <v>876</v>
      </c>
    </row>
    <row r="877" spans="2:2" x14ac:dyDescent="0.2">
      <c r="B877" s="396">
        <v>877</v>
      </c>
    </row>
    <row r="878" spans="2:2" x14ac:dyDescent="0.2">
      <c r="B878" s="396">
        <v>878</v>
      </c>
    </row>
    <row r="879" spans="2:2" x14ac:dyDescent="0.2">
      <c r="B879" s="396">
        <v>879</v>
      </c>
    </row>
    <row r="880" spans="2:2" x14ac:dyDescent="0.2">
      <c r="B880" s="396">
        <v>880</v>
      </c>
    </row>
    <row r="881" spans="2:2" x14ac:dyDescent="0.2">
      <c r="B881" s="396">
        <v>881</v>
      </c>
    </row>
    <row r="882" spans="2:2" x14ac:dyDescent="0.2">
      <c r="B882" s="396">
        <v>882</v>
      </c>
    </row>
    <row r="883" spans="2:2" x14ac:dyDescent="0.2">
      <c r="B883" s="396">
        <v>883</v>
      </c>
    </row>
    <row r="884" spans="2:2" x14ac:dyDescent="0.2">
      <c r="B884" s="396">
        <v>884</v>
      </c>
    </row>
    <row r="885" spans="2:2" x14ac:dyDescent="0.2">
      <c r="B885" s="396">
        <v>885</v>
      </c>
    </row>
    <row r="886" spans="2:2" x14ac:dyDescent="0.2">
      <c r="B886" s="396">
        <v>886</v>
      </c>
    </row>
    <row r="887" spans="2:2" x14ac:dyDescent="0.2">
      <c r="B887" s="396">
        <v>887</v>
      </c>
    </row>
    <row r="888" spans="2:2" x14ac:dyDescent="0.2">
      <c r="B888" s="396">
        <v>888</v>
      </c>
    </row>
    <row r="889" spans="2:2" x14ac:dyDescent="0.2">
      <c r="B889" s="396">
        <v>889</v>
      </c>
    </row>
    <row r="890" spans="2:2" x14ac:dyDescent="0.2">
      <c r="B890" s="396">
        <v>890</v>
      </c>
    </row>
    <row r="891" spans="2:2" x14ac:dyDescent="0.2">
      <c r="B891" s="396">
        <v>891</v>
      </c>
    </row>
    <row r="892" spans="2:2" x14ac:dyDescent="0.2">
      <c r="B892" s="396">
        <v>892</v>
      </c>
    </row>
    <row r="893" spans="2:2" x14ac:dyDescent="0.2">
      <c r="B893" s="396">
        <v>893</v>
      </c>
    </row>
    <row r="894" spans="2:2" x14ac:dyDescent="0.2">
      <c r="B894" s="396">
        <v>894</v>
      </c>
    </row>
    <row r="895" spans="2:2" x14ac:dyDescent="0.2">
      <c r="B895" s="396">
        <v>895</v>
      </c>
    </row>
    <row r="896" spans="2:2" x14ac:dyDescent="0.2">
      <c r="B896" s="396">
        <v>896</v>
      </c>
    </row>
    <row r="897" spans="2:2" x14ac:dyDescent="0.2">
      <c r="B897" s="396">
        <v>897</v>
      </c>
    </row>
    <row r="898" spans="2:2" x14ac:dyDescent="0.2">
      <c r="B898" s="396">
        <v>898</v>
      </c>
    </row>
    <row r="899" spans="2:2" x14ac:dyDescent="0.2">
      <c r="B899" s="396">
        <v>899</v>
      </c>
    </row>
    <row r="900" spans="2:2" x14ac:dyDescent="0.2">
      <c r="B900" s="396">
        <v>900</v>
      </c>
    </row>
    <row r="901" spans="2:2" x14ac:dyDescent="0.2">
      <c r="B901" s="396">
        <v>901</v>
      </c>
    </row>
    <row r="902" spans="2:2" x14ac:dyDescent="0.2">
      <c r="B902" s="396">
        <v>902</v>
      </c>
    </row>
    <row r="903" spans="2:2" x14ac:dyDescent="0.2">
      <c r="B903" s="396">
        <v>903</v>
      </c>
    </row>
    <row r="904" spans="2:2" x14ac:dyDescent="0.2">
      <c r="B904" s="396">
        <v>904</v>
      </c>
    </row>
    <row r="905" spans="2:2" x14ac:dyDescent="0.2">
      <c r="B905" s="396">
        <v>905</v>
      </c>
    </row>
    <row r="906" spans="2:2" x14ac:dyDescent="0.2">
      <c r="B906" s="396">
        <v>906</v>
      </c>
    </row>
    <row r="907" spans="2:2" x14ac:dyDescent="0.2">
      <c r="B907" s="396">
        <v>907</v>
      </c>
    </row>
    <row r="908" spans="2:2" x14ac:dyDescent="0.2">
      <c r="B908" s="396">
        <v>908</v>
      </c>
    </row>
    <row r="909" spans="2:2" x14ac:dyDescent="0.2">
      <c r="B909" s="396">
        <v>909</v>
      </c>
    </row>
    <row r="910" spans="2:2" x14ac:dyDescent="0.2">
      <c r="B910" s="396">
        <v>910</v>
      </c>
    </row>
    <row r="911" spans="2:2" x14ac:dyDescent="0.2">
      <c r="B911" s="396">
        <v>911</v>
      </c>
    </row>
    <row r="912" spans="2:2" x14ac:dyDescent="0.2">
      <c r="B912" s="396">
        <v>912</v>
      </c>
    </row>
    <row r="913" spans="2:2" x14ac:dyDescent="0.2">
      <c r="B913" s="396">
        <v>913</v>
      </c>
    </row>
    <row r="914" spans="2:2" x14ac:dyDescent="0.2">
      <c r="B914" s="396">
        <v>914</v>
      </c>
    </row>
    <row r="915" spans="2:2" x14ac:dyDescent="0.2">
      <c r="B915" s="396">
        <v>915</v>
      </c>
    </row>
    <row r="916" spans="2:2" x14ac:dyDescent="0.2">
      <c r="B916" s="396">
        <v>916</v>
      </c>
    </row>
    <row r="917" spans="2:2" x14ac:dyDescent="0.2">
      <c r="B917" s="396">
        <v>917</v>
      </c>
    </row>
    <row r="918" spans="2:2" x14ac:dyDescent="0.2">
      <c r="B918" s="396">
        <v>918</v>
      </c>
    </row>
    <row r="919" spans="2:2" x14ac:dyDescent="0.2">
      <c r="B919" s="396">
        <v>919</v>
      </c>
    </row>
    <row r="920" spans="2:2" x14ac:dyDescent="0.2">
      <c r="B920" s="396">
        <v>920</v>
      </c>
    </row>
    <row r="921" spans="2:2" x14ac:dyDescent="0.2">
      <c r="B921" s="396">
        <v>921</v>
      </c>
    </row>
    <row r="922" spans="2:2" x14ac:dyDescent="0.2">
      <c r="B922" s="396">
        <v>922</v>
      </c>
    </row>
    <row r="923" spans="2:2" x14ac:dyDescent="0.2">
      <c r="B923" s="396">
        <v>923</v>
      </c>
    </row>
    <row r="924" spans="2:2" x14ac:dyDescent="0.2">
      <c r="B924" s="396">
        <v>924</v>
      </c>
    </row>
    <row r="925" spans="2:2" x14ac:dyDescent="0.2">
      <c r="B925" s="396">
        <v>925</v>
      </c>
    </row>
    <row r="926" spans="2:2" x14ac:dyDescent="0.2">
      <c r="B926" s="396">
        <v>926</v>
      </c>
    </row>
    <row r="927" spans="2:2" x14ac:dyDescent="0.2">
      <c r="B927" s="396">
        <v>927</v>
      </c>
    </row>
    <row r="928" spans="2:2" x14ac:dyDescent="0.2">
      <c r="B928" s="396">
        <v>928</v>
      </c>
    </row>
    <row r="929" spans="2:2" x14ac:dyDescent="0.2">
      <c r="B929" s="396">
        <v>929</v>
      </c>
    </row>
    <row r="930" spans="2:2" x14ac:dyDescent="0.2">
      <c r="B930" s="396">
        <v>930</v>
      </c>
    </row>
    <row r="931" spans="2:2" x14ac:dyDescent="0.2">
      <c r="B931" s="396">
        <v>931</v>
      </c>
    </row>
    <row r="932" spans="2:2" x14ac:dyDescent="0.2">
      <c r="B932" s="396">
        <v>932</v>
      </c>
    </row>
    <row r="933" spans="2:2" x14ac:dyDescent="0.2">
      <c r="B933" s="396">
        <v>933</v>
      </c>
    </row>
    <row r="934" spans="2:2" x14ac:dyDescent="0.2">
      <c r="B934" s="396">
        <v>934</v>
      </c>
    </row>
    <row r="935" spans="2:2" x14ac:dyDescent="0.2">
      <c r="B935" s="396">
        <v>935</v>
      </c>
    </row>
    <row r="936" spans="2:2" x14ac:dyDescent="0.2">
      <c r="B936" s="396">
        <v>936</v>
      </c>
    </row>
    <row r="937" spans="2:2" x14ac:dyDescent="0.2">
      <c r="B937" s="396">
        <v>937</v>
      </c>
    </row>
    <row r="938" spans="2:2" x14ac:dyDescent="0.2">
      <c r="B938" s="396">
        <v>938</v>
      </c>
    </row>
    <row r="939" spans="2:2" x14ac:dyDescent="0.2">
      <c r="B939" s="396">
        <v>939</v>
      </c>
    </row>
    <row r="940" spans="2:2" x14ac:dyDescent="0.2">
      <c r="B940" s="396">
        <v>940</v>
      </c>
    </row>
    <row r="941" spans="2:2" x14ac:dyDescent="0.2">
      <c r="B941" s="396">
        <v>941</v>
      </c>
    </row>
    <row r="942" spans="2:2" x14ac:dyDescent="0.2">
      <c r="B942" s="396">
        <v>942</v>
      </c>
    </row>
    <row r="943" spans="2:2" x14ac:dyDescent="0.2">
      <c r="B943" s="396">
        <v>943</v>
      </c>
    </row>
    <row r="944" spans="2:2" x14ac:dyDescent="0.2">
      <c r="B944" s="396">
        <v>944</v>
      </c>
    </row>
    <row r="945" spans="2:2" x14ac:dyDescent="0.2">
      <c r="B945" s="396">
        <v>945</v>
      </c>
    </row>
    <row r="946" spans="2:2" x14ac:dyDescent="0.2">
      <c r="B946" s="396">
        <v>946</v>
      </c>
    </row>
    <row r="947" spans="2:2" x14ac:dyDescent="0.2">
      <c r="B947" s="396">
        <v>947</v>
      </c>
    </row>
    <row r="948" spans="2:2" x14ac:dyDescent="0.2">
      <c r="B948" s="396">
        <v>948</v>
      </c>
    </row>
    <row r="949" spans="2:2" x14ac:dyDescent="0.2">
      <c r="B949" s="396">
        <v>949</v>
      </c>
    </row>
    <row r="950" spans="2:2" x14ac:dyDescent="0.2">
      <c r="B950" s="396">
        <v>950</v>
      </c>
    </row>
    <row r="951" spans="2:2" x14ac:dyDescent="0.2">
      <c r="B951" s="396">
        <v>951</v>
      </c>
    </row>
    <row r="952" spans="2:2" x14ac:dyDescent="0.2">
      <c r="B952" s="396">
        <v>952</v>
      </c>
    </row>
    <row r="953" spans="2:2" x14ac:dyDescent="0.2">
      <c r="B953" s="396">
        <v>953</v>
      </c>
    </row>
    <row r="954" spans="2:2" x14ac:dyDescent="0.2">
      <c r="B954" s="396">
        <v>954</v>
      </c>
    </row>
    <row r="955" spans="2:2" x14ac:dyDescent="0.2">
      <c r="B955" s="396">
        <v>955</v>
      </c>
    </row>
    <row r="956" spans="2:2" x14ac:dyDescent="0.2">
      <c r="B956" s="396">
        <v>956</v>
      </c>
    </row>
    <row r="957" spans="2:2" x14ac:dyDescent="0.2">
      <c r="B957" s="396">
        <v>957</v>
      </c>
    </row>
    <row r="958" spans="2:2" x14ac:dyDescent="0.2">
      <c r="B958" s="396">
        <v>958</v>
      </c>
    </row>
    <row r="959" spans="2:2" x14ac:dyDescent="0.2">
      <c r="B959" s="396">
        <v>959</v>
      </c>
    </row>
    <row r="960" spans="2:2" x14ac:dyDescent="0.2">
      <c r="B960" s="396">
        <v>960</v>
      </c>
    </row>
    <row r="961" spans="2:2" x14ac:dyDescent="0.2">
      <c r="B961" s="396">
        <v>961</v>
      </c>
    </row>
    <row r="962" spans="2:2" x14ac:dyDescent="0.2">
      <c r="B962" s="396">
        <v>962</v>
      </c>
    </row>
    <row r="963" spans="2:2" x14ac:dyDescent="0.2">
      <c r="B963" s="396">
        <v>963</v>
      </c>
    </row>
    <row r="964" spans="2:2" x14ac:dyDescent="0.2">
      <c r="B964" s="396">
        <v>964</v>
      </c>
    </row>
    <row r="965" spans="2:2" x14ac:dyDescent="0.2">
      <c r="B965" s="396">
        <v>965</v>
      </c>
    </row>
    <row r="966" spans="2:2" x14ac:dyDescent="0.2">
      <c r="B966" s="396">
        <v>966</v>
      </c>
    </row>
    <row r="967" spans="2:2" x14ac:dyDescent="0.2">
      <c r="B967" s="396">
        <v>967</v>
      </c>
    </row>
    <row r="968" spans="2:2" x14ac:dyDescent="0.2">
      <c r="B968" s="396">
        <v>968</v>
      </c>
    </row>
    <row r="969" spans="2:2" x14ac:dyDescent="0.2">
      <c r="B969" s="396">
        <v>969</v>
      </c>
    </row>
    <row r="970" spans="2:2" x14ac:dyDescent="0.2">
      <c r="B970" s="396">
        <v>970</v>
      </c>
    </row>
    <row r="971" spans="2:2" x14ac:dyDescent="0.2">
      <c r="B971" s="396">
        <v>971</v>
      </c>
    </row>
    <row r="972" spans="2:2" x14ac:dyDescent="0.2">
      <c r="B972" s="396">
        <v>972</v>
      </c>
    </row>
    <row r="973" spans="2:2" x14ac:dyDescent="0.2">
      <c r="B973" s="396">
        <v>973</v>
      </c>
    </row>
    <row r="974" spans="2:2" x14ac:dyDescent="0.2">
      <c r="B974" s="396">
        <v>974</v>
      </c>
    </row>
    <row r="975" spans="2:2" x14ac:dyDescent="0.2">
      <c r="B975" s="396">
        <v>975</v>
      </c>
    </row>
    <row r="976" spans="2:2" x14ac:dyDescent="0.2">
      <c r="B976" s="396">
        <v>976</v>
      </c>
    </row>
    <row r="977" spans="2:2" x14ac:dyDescent="0.2">
      <c r="B977" s="396">
        <v>977</v>
      </c>
    </row>
    <row r="978" spans="2:2" x14ac:dyDescent="0.2">
      <c r="B978" s="396">
        <v>978</v>
      </c>
    </row>
    <row r="979" spans="2:2" x14ac:dyDescent="0.2">
      <c r="B979" s="396">
        <v>979</v>
      </c>
    </row>
    <row r="980" spans="2:2" x14ac:dyDescent="0.2">
      <c r="B980" s="396">
        <v>980</v>
      </c>
    </row>
    <row r="981" spans="2:2" x14ac:dyDescent="0.2">
      <c r="B981" s="396">
        <v>981</v>
      </c>
    </row>
    <row r="982" spans="2:2" x14ac:dyDescent="0.2">
      <c r="B982" s="396">
        <v>982</v>
      </c>
    </row>
    <row r="983" spans="2:2" x14ac:dyDescent="0.2">
      <c r="B983" s="396">
        <v>983</v>
      </c>
    </row>
    <row r="984" spans="2:2" x14ac:dyDescent="0.2">
      <c r="B984" s="396">
        <v>984</v>
      </c>
    </row>
    <row r="985" spans="2:2" x14ac:dyDescent="0.2">
      <c r="B985" s="396">
        <v>985</v>
      </c>
    </row>
    <row r="986" spans="2:2" x14ac:dyDescent="0.2">
      <c r="B986" s="396">
        <v>986</v>
      </c>
    </row>
    <row r="987" spans="2:2" x14ac:dyDescent="0.2">
      <c r="B987" s="396">
        <v>987</v>
      </c>
    </row>
    <row r="988" spans="2:2" x14ac:dyDescent="0.2">
      <c r="B988" s="396">
        <v>988</v>
      </c>
    </row>
    <row r="989" spans="2:2" x14ac:dyDescent="0.2">
      <c r="B989" s="396">
        <v>989</v>
      </c>
    </row>
    <row r="990" spans="2:2" x14ac:dyDescent="0.2">
      <c r="B990" s="396">
        <v>990</v>
      </c>
    </row>
    <row r="991" spans="2:2" x14ac:dyDescent="0.2">
      <c r="B991" s="396">
        <v>991</v>
      </c>
    </row>
    <row r="992" spans="2:2" x14ac:dyDescent="0.2">
      <c r="B992" s="396">
        <v>992</v>
      </c>
    </row>
    <row r="993" spans="2:2" x14ac:dyDescent="0.2">
      <c r="B993" s="396">
        <v>993</v>
      </c>
    </row>
    <row r="994" spans="2:2" x14ac:dyDescent="0.2">
      <c r="B994" s="396">
        <v>994</v>
      </c>
    </row>
    <row r="995" spans="2:2" x14ac:dyDescent="0.2">
      <c r="B995" s="396">
        <v>995</v>
      </c>
    </row>
    <row r="996" spans="2:2" x14ac:dyDescent="0.2">
      <c r="B996" s="396">
        <v>996</v>
      </c>
    </row>
    <row r="997" spans="2:2" x14ac:dyDescent="0.2">
      <c r="B997" s="396">
        <v>997</v>
      </c>
    </row>
    <row r="998" spans="2:2" x14ac:dyDescent="0.2">
      <c r="B998" s="396">
        <v>998</v>
      </c>
    </row>
    <row r="999" spans="2:2" x14ac:dyDescent="0.2">
      <c r="B999" s="396">
        <v>999</v>
      </c>
    </row>
    <row r="1000" spans="2:2" x14ac:dyDescent="0.2">
      <c r="B1000" s="396">
        <v>1000</v>
      </c>
    </row>
    <row r="1001" spans="2:2" x14ac:dyDescent="0.2">
      <c r="B1001" s="396">
        <v>1001</v>
      </c>
    </row>
    <row r="1002" spans="2:2" x14ac:dyDescent="0.2">
      <c r="B1002" s="396">
        <v>1002</v>
      </c>
    </row>
    <row r="1003" spans="2:2" x14ac:dyDescent="0.2">
      <c r="B1003" s="396">
        <v>1003</v>
      </c>
    </row>
    <row r="1004" spans="2:2" x14ac:dyDescent="0.2">
      <c r="B1004" s="396">
        <v>1004</v>
      </c>
    </row>
    <row r="1005" spans="2:2" x14ac:dyDescent="0.2">
      <c r="B1005" s="396">
        <v>1005</v>
      </c>
    </row>
    <row r="1006" spans="2:2" x14ac:dyDescent="0.2">
      <c r="B1006" s="396">
        <v>1006</v>
      </c>
    </row>
    <row r="1007" spans="2:2" x14ac:dyDescent="0.2">
      <c r="B1007" s="396">
        <v>1007</v>
      </c>
    </row>
    <row r="1008" spans="2:2" x14ac:dyDescent="0.2">
      <c r="B1008" s="396">
        <v>1008</v>
      </c>
    </row>
    <row r="1009" spans="2:2" x14ac:dyDescent="0.2">
      <c r="B1009" s="396">
        <v>1009</v>
      </c>
    </row>
    <row r="1010" spans="2:2" x14ac:dyDescent="0.2">
      <c r="B1010" s="396">
        <v>1010</v>
      </c>
    </row>
    <row r="1011" spans="2:2" x14ac:dyDescent="0.2">
      <c r="B1011" s="396">
        <v>1011</v>
      </c>
    </row>
    <row r="1012" spans="2:2" x14ac:dyDescent="0.2">
      <c r="B1012" s="396">
        <v>1012</v>
      </c>
    </row>
    <row r="1013" spans="2:2" x14ac:dyDescent="0.2">
      <c r="B1013" s="396">
        <v>1013</v>
      </c>
    </row>
    <row r="1014" spans="2:2" x14ac:dyDescent="0.2">
      <c r="B1014" s="396">
        <v>1014</v>
      </c>
    </row>
    <row r="1015" spans="2:2" x14ac:dyDescent="0.2">
      <c r="B1015" s="396">
        <v>1015</v>
      </c>
    </row>
    <row r="1016" spans="2:2" x14ac:dyDescent="0.2">
      <c r="B1016" s="396">
        <v>1016</v>
      </c>
    </row>
    <row r="1017" spans="2:2" x14ac:dyDescent="0.2">
      <c r="B1017" s="396">
        <v>1017</v>
      </c>
    </row>
    <row r="1018" spans="2:2" x14ac:dyDescent="0.2">
      <c r="B1018" s="396">
        <v>1018</v>
      </c>
    </row>
    <row r="1019" spans="2:2" x14ac:dyDescent="0.2">
      <c r="B1019" s="396">
        <v>1019</v>
      </c>
    </row>
    <row r="1020" spans="2:2" x14ac:dyDescent="0.2">
      <c r="B1020" s="396">
        <v>1020</v>
      </c>
    </row>
    <row r="1021" spans="2:2" x14ac:dyDescent="0.2">
      <c r="B1021" s="396">
        <v>1021</v>
      </c>
    </row>
    <row r="1022" spans="2:2" x14ac:dyDescent="0.2">
      <c r="B1022" s="396">
        <v>1022</v>
      </c>
    </row>
    <row r="1023" spans="2:2" x14ac:dyDescent="0.2">
      <c r="B1023" s="396">
        <v>1023</v>
      </c>
    </row>
    <row r="1024" spans="2:2" x14ac:dyDescent="0.2">
      <c r="B1024" s="396">
        <v>1024</v>
      </c>
    </row>
    <row r="1025" spans="2:2" x14ac:dyDescent="0.2">
      <c r="B1025" s="396">
        <v>1025</v>
      </c>
    </row>
    <row r="1026" spans="2:2" x14ac:dyDescent="0.2">
      <c r="B1026" s="396">
        <v>1026</v>
      </c>
    </row>
    <row r="1027" spans="2:2" x14ac:dyDescent="0.2">
      <c r="B1027" s="396">
        <v>1027</v>
      </c>
    </row>
    <row r="1028" spans="2:2" x14ac:dyDescent="0.2">
      <c r="B1028" s="396">
        <v>1028</v>
      </c>
    </row>
    <row r="1029" spans="2:2" x14ac:dyDescent="0.2">
      <c r="B1029" s="396">
        <v>1029</v>
      </c>
    </row>
    <row r="1030" spans="2:2" x14ac:dyDescent="0.2">
      <c r="B1030" s="396">
        <v>1030</v>
      </c>
    </row>
    <row r="1031" spans="2:2" x14ac:dyDescent="0.2">
      <c r="B1031" s="396">
        <v>1031</v>
      </c>
    </row>
    <row r="1032" spans="2:2" x14ac:dyDescent="0.2">
      <c r="B1032" s="396">
        <v>1032</v>
      </c>
    </row>
    <row r="1033" spans="2:2" x14ac:dyDescent="0.2">
      <c r="B1033" s="396">
        <v>1033</v>
      </c>
    </row>
    <row r="1034" spans="2:2" x14ac:dyDescent="0.2">
      <c r="B1034" s="396">
        <v>1034</v>
      </c>
    </row>
    <row r="1035" spans="2:2" x14ac:dyDescent="0.2">
      <c r="B1035" s="396">
        <v>1035</v>
      </c>
    </row>
    <row r="1036" spans="2:2" x14ac:dyDescent="0.2">
      <c r="B1036" s="396">
        <v>1036</v>
      </c>
    </row>
    <row r="1037" spans="2:2" x14ac:dyDescent="0.2">
      <c r="B1037" s="396">
        <v>1037</v>
      </c>
    </row>
    <row r="1038" spans="2:2" x14ac:dyDescent="0.2">
      <c r="B1038" s="396">
        <v>1038</v>
      </c>
    </row>
    <row r="1039" spans="2:2" x14ac:dyDescent="0.2">
      <c r="B1039" s="396">
        <v>1039</v>
      </c>
    </row>
    <row r="1040" spans="2:2" x14ac:dyDescent="0.2">
      <c r="B1040" s="396">
        <v>1040</v>
      </c>
    </row>
    <row r="1041" spans="2:2" x14ac:dyDescent="0.2">
      <c r="B1041" s="396">
        <v>1041</v>
      </c>
    </row>
    <row r="1042" spans="2:2" x14ac:dyDescent="0.2">
      <c r="B1042" s="396">
        <v>1042</v>
      </c>
    </row>
    <row r="1043" spans="2:2" x14ac:dyDescent="0.2">
      <c r="B1043" s="396">
        <v>1043</v>
      </c>
    </row>
    <row r="1044" spans="2:2" x14ac:dyDescent="0.2">
      <c r="B1044" s="396">
        <v>1044</v>
      </c>
    </row>
    <row r="1045" spans="2:2" x14ac:dyDescent="0.2">
      <c r="B1045" s="396">
        <v>1045</v>
      </c>
    </row>
    <row r="1046" spans="2:2" x14ac:dyDescent="0.2">
      <c r="B1046" s="396">
        <v>1046</v>
      </c>
    </row>
    <row r="1047" spans="2:2" x14ac:dyDescent="0.2">
      <c r="B1047" s="396">
        <v>1047</v>
      </c>
    </row>
    <row r="1048" spans="2:2" x14ac:dyDescent="0.2">
      <c r="B1048" s="396">
        <v>1048</v>
      </c>
    </row>
    <row r="1049" spans="2:2" x14ac:dyDescent="0.2">
      <c r="B1049" s="396">
        <v>1049</v>
      </c>
    </row>
    <row r="1050" spans="2:2" x14ac:dyDescent="0.2">
      <c r="B1050" s="396">
        <v>1050</v>
      </c>
    </row>
    <row r="1051" spans="2:2" x14ac:dyDescent="0.2">
      <c r="B1051" s="396">
        <v>1051</v>
      </c>
    </row>
    <row r="1052" spans="2:2" x14ac:dyDescent="0.2">
      <c r="B1052" s="396">
        <v>1052</v>
      </c>
    </row>
    <row r="1053" spans="2:2" x14ac:dyDescent="0.2">
      <c r="B1053" s="396">
        <v>1053</v>
      </c>
    </row>
    <row r="1054" spans="2:2" x14ac:dyDescent="0.2">
      <c r="B1054" s="396">
        <v>1054</v>
      </c>
    </row>
    <row r="1055" spans="2:2" x14ac:dyDescent="0.2">
      <c r="B1055" s="396">
        <v>1055</v>
      </c>
    </row>
    <row r="1056" spans="2:2" x14ac:dyDescent="0.2">
      <c r="B1056" s="396">
        <v>1056</v>
      </c>
    </row>
    <row r="1057" spans="2:2" x14ac:dyDescent="0.2">
      <c r="B1057" s="396">
        <v>1057</v>
      </c>
    </row>
    <row r="1058" spans="2:2" x14ac:dyDescent="0.2">
      <c r="B1058" s="396">
        <v>1058</v>
      </c>
    </row>
    <row r="1059" spans="2:2" x14ac:dyDescent="0.2">
      <c r="B1059" s="396">
        <v>1059</v>
      </c>
    </row>
    <row r="1060" spans="2:2" x14ac:dyDescent="0.2">
      <c r="B1060" s="396">
        <v>1060</v>
      </c>
    </row>
    <row r="1061" spans="2:2" x14ac:dyDescent="0.2">
      <c r="B1061" s="396">
        <v>1061</v>
      </c>
    </row>
    <row r="1062" spans="2:2" x14ac:dyDescent="0.2">
      <c r="B1062" s="396">
        <v>1062</v>
      </c>
    </row>
    <row r="1063" spans="2:2" x14ac:dyDescent="0.2">
      <c r="B1063" s="396">
        <v>1063</v>
      </c>
    </row>
    <row r="1064" spans="2:2" x14ac:dyDescent="0.2">
      <c r="B1064" s="396">
        <v>1064</v>
      </c>
    </row>
    <row r="1065" spans="2:2" x14ac:dyDescent="0.2">
      <c r="B1065" s="396">
        <v>1065</v>
      </c>
    </row>
    <row r="1066" spans="2:2" x14ac:dyDescent="0.2">
      <c r="B1066" s="396">
        <v>1066</v>
      </c>
    </row>
    <row r="1067" spans="2:2" x14ac:dyDescent="0.2">
      <c r="B1067" s="396">
        <v>1067</v>
      </c>
    </row>
    <row r="1068" spans="2:2" x14ac:dyDescent="0.2">
      <c r="B1068" s="396">
        <v>1068</v>
      </c>
    </row>
    <row r="1069" spans="2:2" x14ac:dyDescent="0.2">
      <c r="B1069" s="396">
        <v>1069</v>
      </c>
    </row>
    <row r="1070" spans="2:2" x14ac:dyDescent="0.2">
      <c r="B1070" s="396">
        <v>1070</v>
      </c>
    </row>
    <row r="1071" spans="2:2" x14ac:dyDescent="0.2">
      <c r="B1071" s="396">
        <v>1071</v>
      </c>
    </row>
    <row r="1072" spans="2:2" x14ac:dyDescent="0.2">
      <c r="B1072" s="396">
        <v>1072</v>
      </c>
    </row>
    <row r="1073" spans="2:2" x14ac:dyDescent="0.2">
      <c r="B1073" s="396">
        <v>1073</v>
      </c>
    </row>
    <row r="1074" spans="2:2" x14ac:dyDescent="0.2">
      <c r="B1074" s="396">
        <v>1074</v>
      </c>
    </row>
    <row r="1075" spans="2:2" x14ac:dyDescent="0.2">
      <c r="B1075" s="396">
        <v>1075</v>
      </c>
    </row>
    <row r="1076" spans="2:2" x14ac:dyDescent="0.2">
      <c r="B1076" s="396">
        <v>1076</v>
      </c>
    </row>
    <row r="1077" spans="2:2" x14ac:dyDescent="0.2">
      <c r="B1077" s="396">
        <v>1077</v>
      </c>
    </row>
    <row r="1078" spans="2:2" x14ac:dyDescent="0.2">
      <c r="B1078" s="396">
        <v>1078</v>
      </c>
    </row>
    <row r="1079" spans="2:2" x14ac:dyDescent="0.2">
      <c r="B1079" s="396">
        <v>1079</v>
      </c>
    </row>
    <row r="1080" spans="2:2" x14ac:dyDescent="0.2">
      <c r="B1080" s="396">
        <v>1080</v>
      </c>
    </row>
    <row r="1081" spans="2:2" x14ac:dyDescent="0.2">
      <c r="B1081" s="396">
        <v>1081</v>
      </c>
    </row>
    <row r="1082" spans="2:2" x14ac:dyDescent="0.2">
      <c r="B1082" s="396">
        <v>1082</v>
      </c>
    </row>
    <row r="1083" spans="2:2" x14ac:dyDescent="0.2">
      <c r="B1083" s="396">
        <v>1083</v>
      </c>
    </row>
    <row r="1084" spans="2:2" x14ac:dyDescent="0.2">
      <c r="B1084" s="396">
        <v>1084</v>
      </c>
    </row>
    <row r="1085" spans="2:2" x14ac:dyDescent="0.2">
      <c r="B1085" s="396">
        <v>1085</v>
      </c>
    </row>
    <row r="1086" spans="2:2" x14ac:dyDescent="0.2">
      <c r="B1086" s="396">
        <v>1086</v>
      </c>
    </row>
    <row r="1087" spans="2:2" x14ac:dyDescent="0.2">
      <c r="B1087" s="396">
        <v>1087</v>
      </c>
    </row>
    <row r="1088" spans="2:2" x14ac:dyDescent="0.2">
      <c r="B1088" s="396">
        <v>1088</v>
      </c>
    </row>
    <row r="1089" spans="2:2" x14ac:dyDescent="0.2">
      <c r="B1089" s="396">
        <v>1089</v>
      </c>
    </row>
    <row r="1090" spans="2:2" x14ac:dyDescent="0.2">
      <c r="B1090" s="396">
        <v>1090</v>
      </c>
    </row>
    <row r="1091" spans="2:2" x14ac:dyDescent="0.2">
      <c r="B1091" s="396">
        <v>1091</v>
      </c>
    </row>
    <row r="1092" spans="2:2" x14ac:dyDescent="0.2">
      <c r="B1092" s="396">
        <v>1092</v>
      </c>
    </row>
    <row r="1093" spans="2:2" x14ac:dyDescent="0.2">
      <c r="B1093" s="396">
        <v>1093</v>
      </c>
    </row>
    <row r="1094" spans="2:2" x14ac:dyDescent="0.2">
      <c r="B1094" s="396">
        <v>1094</v>
      </c>
    </row>
    <row r="1095" spans="2:2" x14ac:dyDescent="0.2">
      <c r="B1095" s="396">
        <v>1095</v>
      </c>
    </row>
    <row r="1096" spans="2:2" x14ac:dyDescent="0.2">
      <c r="B1096" s="396">
        <v>1096</v>
      </c>
    </row>
    <row r="1097" spans="2:2" x14ac:dyDescent="0.2">
      <c r="B1097" s="396">
        <v>1097</v>
      </c>
    </row>
    <row r="1098" spans="2:2" x14ac:dyDescent="0.2">
      <c r="B1098" s="396">
        <v>1098</v>
      </c>
    </row>
    <row r="1099" spans="2:2" x14ac:dyDescent="0.2">
      <c r="B1099" s="396">
        <v>1099</v>
      </c>
    </row>
    <row r="1100" spans="2:2" x14ac:dyDescent="0.2">
      <c r="B1100" s="396">
        <v>1100</v>
      </c>
    </row>
    <row r="1101" spans="2:2" x14ac:dyDescent="0.2">
      <c r="B1101" s="396">
        <v>1101</v>
      </c>
    </row>
    <row r="1102" spans="2:2" x14ac:dyDescent="0.2">
      <c r="B1102" s="396">
        <v>1102</v>
      </c>
    </row>
    <row r="1103" spans="2:2" x14ac:dyDescent="0.2">
      <c r="B1103" s="396">
        <v>1103</v>
      </c>
    </row>
    <row r="1104" spans="2:2" x14ac:dyDescent="0.2">
      <c r="B1104" s="396">
        <v>1104</v>
      </c>
    </row>
    <row r="1105" spans="2:2" x14ac:dyDescent="0.2">
      <c r="B1105" s="396">
        <v>1105</v>
      </c>
    </row>
    <row r="1106" spans="2:2" x14ac:dyDescent="0.2">
      <c r="B1106" s="396">
        <v>1106</v>
      </c>
    </row>
    <row r="1107" spans="2:2" x14ac:dyDescent="0.2">
      <c r="B1107" s="396">
        <v>1107</v>
      </c>
    </row>
    <row r="1108" spans="2:2" x14ac:dyDescent="0.2">
      <c r="B1108" s="396">
        <v>1108</v>
      </c>
    </row>
    <row r="1109" spans="2:2" x14ac:dyDescent="0.2">
      <c r="B1109" s="396">
        <v>1109</v>
      </c>
    </row>
    <row r="1110" spans="2:2" x14ac:dyDescent="0.2">
      <c r="B1110" s="396">
        <v>1110</v>
      </c>
    </row>
    <row r="1111" spans="2:2" x14ac:dyDescent="0.2">
      <c r="B1111" s="396">
        <v>1111</v>
      </c>
    </row>
    <row r="1112" spans="2:2" x14ac:dyDescent="0.2">
      <c r="B1112" s="396">
        <v>1112</v>
      </c>
    </row>
    <row r="1113" spans="2:2" x14ac:dyDescent="0.2">
      <c r="B1113" s="396">
        <v>1113</v>
      </c>
    </row>
    <row r="1114" spans="2:2" x14ac:dyDescent="0.2">
      <c r="B1114" s="396">
        <v>1114</v>
      </c>
    </row>
    <row r="1115" spans="2:2" x14ac:dyDescent="0.2">
      <c r="B1115" s="396">
        <v>1115</v>
      </c>
    </row>
    <row r="1116" spans="2:2" x14ac:dyDescent="0.2">
      <c r="B1116" s="396">
        <v>1116</v>
      </c>
    </row>
    <row r="1117" spans="2:2" x14ac:dyDescent="0.2">
      <c r="B1117" s="396">
        <v>1117</v>
      </c>
    </row>
    <row r="1118" spans="2:2" x14ac:dyDescent="0.2">
      <c r="B1118" s="396">
        <v>1118</v>
      </c>
    </row>
    <row r="1119" spans="2:2" x14ac:dyDescent="0.2">
      <c r="B1119" s="396">
        <v>1119</v>
      </c>
    </row>
    <row r="1120" spans="2:2" x14ac:dyDescent="0.2">
      <c r="B1120" s="396">
        <v>1120</v>
      </c>
    </row>
    <row r="1121" spans="2:2" x14ac:dyDescent="0.2">
      <c r="B1121" s="396">
        <v>1121</v>
      </c>
    </row>
    <row r="1122" spans="2:2" x14ac:dyDescent="0.2">
      <c r="B1122" s="396">
        <v>1122</v>
      </c>
    </row>
    <row r="1123" spans="2:2" x14ac:dyDescent="0.2">
      <c r="B1123" s="396">
        <v>1123</v>
      </c>
    </row>
    <row r="1124" spans="2:2" x14ac:dyDescent="0.2">
      <c r="B1124" s="396">
        <v>1124</v>
      </c>
    </row>
    <row r="1125" spans="2:2" x14ac:dyDescent="0.2">
      <c r="B1125" s="396">
        <v>1125</v>
      </c>
    </row>
    <row r="1126" spans="2:2" x14ac:dyDescent="0.2">
      <c r="B1126" s="396">
        <v>1126</v>
      </c>
    </row>
    <row r="1127" spans="2:2" x14ac:dyDescent="0.2">
      <c r="B1127" s="396">
        <v>1127</v>
      </c>
    </row>
    <row r="1128" spans="2:2" x14ac:dyDescent="0.2">
      <c r="B1128" s="396">
        <v>1128</v>
      </c>
    </row>
    <row r="1129" spans="2:2" x14ac:dyDescent="0.2">
      <c r="B1129" s="396">
        <v>1129</v>
      </c>
    </row>
    <row r="1130" spans="2:2" x14ac:dyDescent="0.2">
      <c r="B1130" s="396">
        <v>1130</v>
      </c>
    </row>
    <row r="1131" spans="2:2" x14ac:dyDescent="0.2">
      <c r="B1131" s="396">
        <v>1131</v>
      </c>
    </row>
    <row r="1132" spans="2:2" x14ac:dyDescent="0.2">
      <c r="B1132" s="396">
        <v>1132</v>
      </c>
    </row>
    <row r="1133" spans="2:2" x14ac:dyDescent="0.2">
      <c r="B1133" s="396">
        <v>1133</v>
      </c>
    </row>
    <row r="1134" spans="2:2" x14ac:dyDescent="0.2">
      <c r="B1134" s="396">
        <v>1134</v>
      </c>
    </row>
    <row r="1135" spans="2:2" x14ac:dyDescent="0.2">
      <c r="B1135" s="396">
        <v>1135</v>
      </c>
    </row>
    <row r="1136" spans="2:2" x14ac:dyDescent="0.2">
      <c r="B1136" s="396">
        <v>1136</v>
      </c>
    </row>
    <row r="1137" spans="2:2" x14ac:dyDescent="0.2">
      <c r="B1137" s="396">
        <v>1137</v>
      </c>
    </row>
    <row r="1138" spans="2:2" x14ac:dyDescent="0.2">
      <c r="B1138" s="396">
        <v>1138</v>
      </c>
    </row>
    <row r="1139" spans="2:2" x14ac:dyDescent="0.2">
      <c r="B1139" s="396">
        <v>1139</v>
      </c>
    </row>
    <row r="1140" spans="2:2" x14ac:dyDescent="0.2">
      <c r="B1140" s="396">
        <v>1140</v>
      </c>
    </row>
    <row r="1141" spans="2:2" x14ac:dyDescent="0.2">
      <c r="B1141" s="396">
        <v>1141</v>
      </c>
    </row>
    <row r="1142" spans="2:2" x14ac:dyDescent="0.2">
      <c r="B1142" s="396">
        <v>1142</v>
      </c>
    </row>
    <row r="1143" spans="2:2" x14ac:dyDescent="0.2">
      <c r="B1143" s="396">
        <v>1143</v>
      </c>
    </row>
    <row r="1144" spans="2:2" x14ac:dyDescent="0.2">
      <c r="B1144" s="396">
        <v>1144</v>
      </c>
    </row>
    <row r="1145" spans="2:2" x14ac:dyDescent="0.2">
      <c r="B1145" s="396">
        <v>1145</v>
      </c>
    </row>
    <row r="1146" spans="2:2" x14ac:dyDescent="0.2">
      <c r="B1146" s="396">
        <v>1146</v>
      </c>
    </row>
    <row r="1147" spans="2:2" x14ac:dyDescent="0.2">
      <c r="B1147" s="396">
        <v>1147</v>
      </c>
    </row>
    <row r="1148" spans="2:2" x14ac:dyDescent="0.2">
      <c r="B1148" s="396">
        <v>1148</v>
      </c>
    </row>
    <row r="1149" spans="2:2" x14ac:dyDescent="0.2">
      <c r="B1149" s="396">
        <v>1149</v>
      </c>
    </row>
    <row r="1150" spans="2:2" x14ac:dyDescent="0.2">
      <c r="B1150" s="396">
        <v>1150</v>
      </c>
    </row>
    <row r="1151" spans="2:2" x14ac:dyDescent="0.2">
      <c r="B1151" s="396">
        <v>1151</v>
      </c>
    </row>
    <row r="1152" spans="2:2" x14ac:dyDescent="0.2">
      <c r="B1152" s="396">
        <v>1152</v>
      </c>
    </row>
    <row r="1153" spans="2:2" x14ac:dyDescent="0.2">
      <c r="B1153" s="396">
        <v>1153</v>
      </c>
    </row>
    <row r="1154" spans="2:2" x14ac:dyDescent="0.2">
      <c r="B1154" s="396">
        <v>1154</v>
      </c>
    </row>
    <row r="1155" spans="2:2" x14ac:dyDescent="0.2">
      <c r="B1155" s="396">
        <v>1155</v>
      </c>
    </row>
    <row r="1156" spans="2:2" x14ac:dyDescent="0.2">
      <c r="B1156" s="396">
        <v>1156</v>
      </c>
    </row>
    <row r="1157" spans="2:2" x14ac:dyDescent="0.2">
      <c r="B1157" s="396">
        <v>1157</v>
      </c>
    </row>
    <row r="1158" spans="2:2" x14ac:dyDescent="0.2">
      <c r="B1158" s="396">
        <v>1158</v>
      </c>
    </row>
    <row r="1159" spans="2:2" x14ac:dyDescent="0.2">
      <c r="B1159" s="396">
        <v>1159</v>
      </c>
    </row>
    <row r="1160" spans="2:2" x14ac:dyDescent="0.2">
      <c r="B1160" s="396">
        <v>1160</v>
      </c>
    </row>
    <row r="1161" spans="2:2" x14ac:dyDescent="0.2">
      <c r="B1161" s="396">
        <v>1161</v>
      </c>
    </row>
    <row r="1162" spans="2:2" x14ac:dyDescent="0.2">
      <c r="B1162" s="396">
        <v>1162</v>
      </c>
    </row>
    <row r="1163" spans="2:2" x14ac:dyDescent="0.2">
      <c r="B1163" s="396">
        <v>1163</v>
      </c>
    </row>
    <row r="1164" spans="2:2" x14ac:dyDescent="0.2">
      <c r="B1164" s="396">
        <v>1164</v>
      </c>
    </row>
    <row r="1165" spans="2:2" x14ac:dyDescent="0.2">
      <c r="B1165" s="396">
        <v>1165</v>
      </c>
    </row>
    <row r="1166" spans="2:2" x14ac:dyDescent="0.2">
      <c r="B1166" s="396">
        <v>1166</v>
      </c>
    </row>
    <row r="1167" spans="2:2" x14ac:dyDescent="0.2">
      <c r="B1167" s="396">
        <v>1167</v>
      </c>
    </row>
    <row r="1168" spans="2:2" x14ac:dyDescent="0.2">
      <c r="B1168" s="396">
        <v>1168</v>
      </c>
    </row>
    <row r="1169" spans="2:2" x14ac:dyDescent="0.2">
      <c r="B1169" s="396">
        <v>1169</v>
      </c>
    </row>
    <row r="1170" spans="2:2" x14ac:dyDescent="0.2">
      <c r="B1170" s="396">
        <v>1170</v>
      </c>
    </row>
    <row r="1171" spans="2:2" x14ac:dyDescent="0.2">
      <c r="B1171" s="396">
        <v>1171</v>
      </c>
    </row>
    <row r="1172" spans="2:2" x14ac:dyDescent="0.2">
      <c r="B1172" s="396">
        <v>1172</v>
      </c>
    </row>
    <row r="1173" spans="2:2" x14ac:dyDescent="0.2">
      <c r="B1173" s="396">
        <v>1173</v>
      </c>
    </row>
    <row r="1174" spans="2:2" x14ac:dyDescent="0.2">
      <c r="B1174" s="396">
        <v>1174</v>
      </c>
    </row>
    <row r="1175" spans="2:2" x14ac:dyDescent="0.2">
      <c r="B1175" s="396">
        <v>1175</v>
      </c>
    </row>
    <row r="1176" spans="2:2" x14ac:dyDescent="0.2">
      <c r="B1176" s="396">
        <v>1176</v>
      </c>
    </row>
    <row r="1177" spans="2:2" x14ac:dyDescent="0.2">
      <c r="B1177" s="396">
        <v>1177</v>
      </c>
    </row>
    <row r="1178" spans="2:2" x14ac:dyDescent="0.2">
      <c r="B1178" s="396">
        <v>1178</v>
      </c>
    </row>
    <row r="1179" spans="2:2" x14ac:dyDescent="0.2">
      <c r="B1179" s="396">
        <v>1179</v>
      </c>
    </row>
    <row r="1180" spans="2:2" x14ac:dyDescent="0.2">
      <c r="B1180" s="396">
        <v>1180</v>
      </c>
    </row>
    <row r="1181" spans="2:2" x14ac:dyDescent="0.2">
      <c r="B1181" s="396">
        <v>1181</v>
      </c>
    </row>
    <row r="1182" spans="2:2" x14ac:dyDescent="0.2">
      <c r="B1182" s="396">
        <v>1182</v>
      </c>
    </row>
    <row r="1183" spans="2:2" x14ac:dyDescent="0.2">
      <c r="B1183" s="396">
        <v>1183</v>
      </c>
    </row>
    <row r="1184" spans="2:2" x14ac:dyDescent="0.2">
      <c r="B1184" s="396">
        <v>1184</v>
      </c>
    </row>
    <row r="1185" spans="2:2" x14ac:dyDescent="0.2">
      <c r="B1185" s="396">
        <v>1185</v>
      </c>
    </row>
    <row r="1186" spans="2:2" x14ac:dyDescent="0.2">
      <c r="B1186" s="396">
        <v>1186</v>
      </c>
    </row>
    <row r="1187" spans="2:2" x14ac:dyDescent="0.2">
      <c r="B1187" s="396">
        <v>1187</v>
      </c>
    </row>
    <row r="1188" spans="2:2" x14ac:dyDescent="0.2">
      <c r="B1188" s="396">
        <v>1188</v>
      </c>
    </row>
    <row r="1189" spans="2:2" x14ac:dyDescent="0.2">
      <c r="B1189" s="396">
        <v>1189</v>
      </c>
    </row>
    <row r="1190" spans="2:2" x14ac:dyDescent="0.2">
      <c r="B1190" s="396">
        <v>1190</v>
      </c>
    </row>
    <row r="1191" spans="2:2" x14ac:dyDescent="0.2">
      <c r="B1191" s="396">
        <v>1191</v>
      </c>
    </row>
    <row r="1192" spans="2:2" x14ac:dyDescent="0.2">
      <c r="B1192" s="396">
        <v>1192</v>
      </c>
    </row>
    <row r="1193" spans="2:2" x14ac:dyDescent="0.2">
      <c r="B1193" s="396">
        <v>1193</v>
      </c>
    </row>
    <row r="1194" spans="2:2" x14ac:dyDescent="0.2">
      <c r="B1194" s="396">
        <v>1194</v>
      </c>
    </row>
    <row r="1195" spans="2:2" x14ac:dyDescent="0.2">
      <c r="B1195" s="396">
        <v>1195</v>
      </c>
    </row>
    <row r="1196" spans="2:2" x14ac:dyDescent="0.2">
      <c r="B1196" s="396">
        <v>1196</v>
      </c>
    </row>
    <row r="1197" spans="2:2" x14ac:dyDescent="0.2">
      <c r="B1197" s="396">
        <v>1197</v>
      </c>
    </row>
    <row r="1198" spans="2:2" x14ac:dyDescent="0.2">
      <c r="B1198" s="396">
        <v>1198</v>
      </c>
    </row>
    <row r="1199" spans="2:2" x14ac:dyDescent="0.2">
      <c r="B1199" s="396">
        <v>1199</v>
      </c>
    </row>
    <row r="1200" spans="2:2" x14ac:dyDescent="0.2">
      <c r="B1200" s="396">
        <v>1200</v>
      </c>
    </row>
    <row r="1201" spans="2:2" x14ac:dyDescent="0.2">
      <c r="B1201" s="396">
        <v>1201</v>
      </c>
    </row>
    <row r="1202" spans="2:2" x14ac:dyDescent="0.2">
      <c r="B1202" s="396">
        <v>1202</v>
      </c>
    </row>
    <row r="1203" spans="2:2" x14ac:dyDescent="0.2">
      <c r="B1203" s="396">
        <v>1203</v>
      </c>
    </row>
    <row r="1204" spans="2:2" x14ac:dyDescent="0.2">
      <c r="B1204" s="396">
        <v>1204</v>
      </c>
    </row>
    <row r="1205" spans="2:2" x14ac:dyDescent="0.2">
      <c r="B1205" s="396">
        <v>1205</v>
      </c>
    </row>
    <row r="1206" spans="2:2" x14ac:dyDescent="0.2">
      <c r="B1206" s="396">
        <v>1206</v>
      </c>
    </row>
    <row r="1207" spans="2:2" x14ac:dyDescent="0.2">
      <c r="B1207" s="396">
        <v>1207</v>
      </c>
    </row>
    <row r="1208" spans="2:2" x14ac:dyDescent="0.2">
      <c r="B1208" s="396">
        <v>1208</v>
      </c>
    </row>
    <row r="1209" spans="2:2" x14ac:dyDescent="0.2">
      <c r="B1209" s="396">
        <v>1209</v>
      </c>
    </row>
    <row r="1210" spans="2:2" x14ac:dyDescent="0.2">
      <c r="B1210" s="396">
        <v>1210</v>
      </c>
    </row>
    <row r="1211" spans="2:2" x14ac:dyDescent="0.2">
      <c r="B1211" s="396">
        <v>1211</v>
      </c>
    </row>
    <row r="1212" spans="2:2" x14ac:dyDescent="0.2">
      <c r="B1212" s="396">
        <v>1212</v>
      </c>
    </row>
    <row r="1213" spans="2:2" x14ac:dyDescent="0.2">
      <c r="B1213" s="396">
        <v>1213</v>
      </c>
    </row>
    <row r="1214" spans="2:2" x14ac:dyDescent="0.2">
      <c r="B1214" s="396">
        <v>1214</v>
      </c>
    </row>
    <row r="1215" spans="2:2" x14ac:dyDescent="0.2">
      <c r="B1215" s="396">
        <v>1215</v>
      </c>
    </row>
    <row r="1216" spans="2:2" x14ac:dyDescent="0.2">
      <c r="B1216" s="396">
        <v>1216</v>
      </c>
    </row>
    <row r="1217" spans="2:2" x14ac:dyDescent="0.2">
      <c r="B1217" s="396">
        <v>1217</v>
      </c>
    </row>
    <row r="1218" spans="2:2" x14ac:dyDescent="0.2">
      <c r="B1218" s="396">
        <v>1218</v>
      </c>
    </row>
    <row r="1219" spans="2:2" x14ac:dyDescent="0.2">
      <c r="B1219" s="396">
        <v>1219</v>
      </c>
    </row>
    <row r="1220" spans="2:2" x14ac:dyDescent="0.2">
      <c r="B1220" s="396">
        <v>1220</v>
      </c>
    </row>
    <row r="1221" spans="2:2" x14ac:dyDescent="0.2">
      <c r="B1221" s="396">
        <v>1221</v>
      </c>
    </row>
    <row r="1222" spans="2:2" x14ac:dyDescent="0.2">
      <c r="B1222" s="396">
        <v>1222</v>
      </c>
    </row>
    <row r="1223" spans="2:2" x14ac:dyDescent="0.2">
      <c r="B1223" s="396">
        <v>1223</v>
      </c>
    </row>
    <row r="1224" spans="2:2" x14ac:dyDescent="0.2">
      <c r="B1224" s="396">
        <v>1224</v>
      </c>
    </row>
    <row r="1225" spans="2:2" x14ac:dyDescent="0.2">
      <c r="B1225" s="396">
        <v>1225</v>
      </c>
    </row>
    <row r="1226" spans="2:2" x14ac:dyDescent="0.2">
      <c r="B1226" s="396">
        <v>1226</v>
      </c>
    </row>
    <row r="1227" spans="2:2" x14ac:dyDescent="0.2">
      <c r="B1227" s="396">
        <v>1227</v>
      </c>
    </row>
    <row r="1228" spans="2:2" x14ac:dyDescent="0.2">
      <c r="B1228" s="396">
        <v>1228</v>
      </c>
    </row>
    <row r="1229" spans="2:2" x14ac:dyDescent="0.2">
      <c r="B1229" s="396">
        <v>1229</v>
      </c>
    </row>
    <row r="1230" spans="2:2" x14ac:dyDescent="0.2">
      <c r="B1230" s="396">
        <v>1230</v>
      </c>
    </row>
    <row r="1231" spans="2:2" x14ac:dyDescent="0.2">
      <c r="B1231" s="396">
        <v>1231</v>
      </c>
    </row>
    <row r="1232" spans="2:2" x14ac:dyDescent="0.2">
      <c r="B1232" s="396">
        <v>1232</v>
      </c>
    </row>
    <row r="1233" spans="2:2" x14ac:dyDescent="0.2">
      <c r="B1233" s="396">
        <v>1233</v>
      </c>
    </row>
    <row r="1234" spans="2:2" x14ac:dyDescent="0.2">
      <c r="B1234" s="396">
        <v>1234</v>
      </c>
    </row>
    <row r="1235" spans="2:2" x14ac:dyDescent="0.2">
      <c r="B1235" s="396">
        <v>1235</v>
      </c>
    </row>
    <row r="1236" spans="2:2" x14ac:dyDescent="0.2">
      <c r="B1236" s="396">
        <v>1236</v>
      </c>
    </row>
    <row r="1237" spans="2:2" x14ac:dyDescent="0.2">
      <c r="B1237" s="396">
        <v>1237</v>
      </c>
    </row>
    <row r="1238" spans="2:2" x14ac:dyDescent="0.2">
      <c r="B1238" s="396">
        <v>1238</v>
      </c>
    </row>
    <row r="1239" spans="2:2" x14ac:dyDescent="0.2">
      <c r="B1239" s="396">
        <v>1239</v>
      </c>
    </row>
    <row r="1240" spans="2:2" x14ac:dyDescent="0.2">
      <c r="B1240" s="396">
        <v>1240</v>
      </c>
    </row>
    <row r="1241" spans="2:2" x14ac:dyDescent="0.2">
      <c r="B1241" s="396">
        <v>1241</v>
      </c>
    </row>
    <row r="1242" spans="2:2" x14ac:dyDescent="0.2">
      <c r="B1242" s="396">
        <v>1242</v>
      </c>
    </row>
    <row r="1243" spans="2:2" x14ac:dyDescent="0.2">
      <c r="B1243" s="396">
        <v>1243</v>
      </c>
    </row>
    <row r="1244" spans="2:2" x14ac:dyDescent="0.2">
      <c r="B1244" s="396">
        <v>1244</v>
      </c>
    </row>
    <row r="1245" spans="2:2" x14ac:dyDescent="0.2">
      <c r="B1245" s="396">
        <v>1245</v>
      </c>
    </row>
    <row r="1246" spans="2:2" x14ac:dyDescent="0.2">
      <c r="B1246" s="396">
        <v>1246</v>
      </c>
    </row>
    <row r="1247" spans="2:2" x14ac:dyDescent="0.2">
      <c r="B1247" s="396">
        <v>1247</v>
      </c>
    </row>
    <row r="1248" spans="2:2" x14ac:dyDescent="0.2">
      <c r="B1248" s="396">
        <v>1248</v>
      </c>
    </row>
    <row r="1249" spans="2:2" x14ac:dyDescent="0.2">
      <c r="B1249" s="396">
        <v>1249</v>
      </c>
    </row>
    <row r="1250" spans="2:2" x14ac:dyDescent="0.2">
      <c r="B1250" s="396">
        <v>1250</v>
      </c>
    </row>
    <row r="1251" spans="2:2" x14ac:dyDescent="0.2">
      <c r="B1251" s="396">
        <v>1251</v>
      </c>
    </row>
    <row r="1252" spans="2:2" x14ac:dyDescent="0.2">
      <c r="B1252" s="396">
        <v>1252</v>
      </c>
    </row>
    <row r="1253" spans="2:2" x14ac:dyDescent="0.2">
      <c r="B1253" s="396">
        <v>1253</v>
      </c>
    </row>
    <row r="1254" spans="2:2" x14ac:dyDescent="0.2">
      <c r="B1254" s="396">
        <v>1254</v>
      </c>
    </row>
    <row r="1255" spans="2:2" x14ac:dyDescent="0.2">
      <c r="B1255" s="396">
        <v>1255</v>
      </c>
    </row>
    <row r="1256" spans="2:2" x14ac:dyDescent="0.2">
      <c r="B1256" s="396">
        <v>1256</v>
      </c>
    </row>
    <row r="1257" spans="2:2" x14ac:dyDescent="0.2">
      <c r="B1257" s="396">
        <v>1257</v>
      </c>
    </row>
    <row r="1258" spans="2:2" x14ac:dyDescent="0.2">
      <c r="B1258" s="396">
        <v>1258</v>
      </c>
    </row>
    <row r="1259" spans="2:2" x14ac:dyDescent="0.2">
      <c r="B1259" s="396">
        <v>1259</v>
      </c>
    </row>
    <row r="1260" spans="2:2" x14ac:dyDescent="0.2">
      <c r="B1260" s="396">
        <v>1260</v>
      </c>
    </row>
    <row r="1261" spans="2:2" x14ac:dyDescent="0.2">
      <c r="B1261" s="396">
        <v>1261</v>
      </c>
    </row>
    <row r="1262" spans="2:2" x14ac:dyDescent="0.2">
      <c r="B1262" s="396">
        <v>1262</v>
      </c>
    </row>
    <row r="1263" spans="2:2" x14ac:dyDescent="0.2">
      <c r="B1263" s="396">
        <v>1263</v>
      </c>
    </row>
    <row r="1264" spans="2:2" x14ac:dyDescent="0.2">
      <c r="B1264" s="396">
        <v>1264</v>
      </c>
    </row>
    <row r="1265" spans="2:2" x14ac:dyDescent="0.2">
      <c r="B1265" s="396">
        <v>1265</v>
      </c>
    </row>
    <row r="1266" spans="2:2" x14ac:dyDescent="0.2">
      <c r="B1266" s="396">
        <v>1266</v>
      </c>
    </row>
    <row r="1267" spans="2:2" x14ac:dyDescent="0.2">
      <c r="B1267" s="396">
        <v>1267</v>
      </c>
    </row>
    <row r="1268" spans="2:2" x14ac:dyDescent="0.2">
      <c r="B1268" s="396">
        <v>1268</v>
      </c>
    </row>
    <row r="1269" spans="2:2" x14ac:dyDescent="0.2">
      <c r="B1269" s="396">
        <v>1269</v>
      </c>
    </row>
    <row r="1270" spans="2:2" x14ac:dyDescent="0.2">
      <c r="B1270" s="396">
        <v>1270</v>
      </c>
    </row>
    <row r="1271" spans="2:2" x14ac:dyDescent="0.2">
      <c r="B1271" s="396">
        <v>1271</v>
      </c>
    </row>
    <row r="1272" spans="2:2" x14ac:dyDescent="0.2">
      <c r="B1272" s="396">
        <v>1272</v>
      </c>
    </row>
    <row r="1273" spans="2:2" x14ac:dyDescent="0.2">
      <c r="B1273" s="396">
        <v>1273</v>
      </c>
    </row>
    <row r="1274" spans="2:2" x14ac:dyDescent="0.2">
      <c r="B1274" s="396">
        <v>1274</v>
      </c>
    </row>
    <row r="1275" spans="2:2" x14ac:dyDescent="0.2">
      <c r="B1275" s="396">
        <v>1275</v>
      </c>
    </row>
    <row r="1276" spans="2:2" x14ac:dyDescent="0.2">
      <c r="B1276" s="396">
        <v>1276</v>
      </c>
    </row>
    <row r="1277" spans="2:2" x14ac:dyDescent="0.2">
      <c r="B1277" s="396">
        <v>1277</v>
      </c>
    </row>
    <row r="1278" spans="2:2" x14ac:dyDescent="0.2">
      <c r="B1278" s="396">
        <v>1278</v>
      </c>
    </row>
    <row r="1279" spans="2:2" x14ac:dyDescent="0.2">
      <c r="B1279" s="396">
        <v>1279</v>
      </c>
    </row>
    <row r="1280" spans="2:2" x14ac:dyDescent="0.2">
      <c r="B1280" s="396">
        <v>1280</v>
      </c>
    </row>
    <row r="1281" spans="2:2" x14ac:dyDescent="0.2">
      <c r="B1281" s="396">
        <v>1281</v>
      </c>
    </row>
    <row r="1282" spans="2:2" x14ac:dyDescent="0.2">
      <c r="B1282" s="396">
        <v>1282</v>
      </c>
    </row>
    <row r="1283" spans="2:2" x14ac:dyDescent="0.2">
      <c r="B1283" s="396">
        <v>1283</v>
      </c>
    </row>
    <row r="1284" spans="2:2" x14ac:dyDescent="0.2">
      <c r="B1284" s="396">
        <v>1284</v>
      </c>
    </row>
    <row r="1285" spans="2:2" x14ac:dyDescent="0.2">
      <c r="B1285" s="396">
        <v>1285</v>
      </c>
    </row>
    <row r="1286" spans="2:2" x14ac:dyDescent="0.2">
      <c r="B1286" s="396">
        <v>1286</v>
      </c>
    </row>
    <row r="1287" spans="2:2" x14ac:dyDescent="0.2">
      <c r="B1287" s="396">
        <v>1287</v>
      </c>
    </row>
    <row r="1288" spans="2:2" x14ac:dyDescent="0.2">
      <c r="B1288" s="396">
        <v>1288</v>
      </c>
    </row>
    <row r="1289" spans="2:2" x14ac:dyDescent="0.2">
      <c r="B1289" s="396">
        <v>1289</v>
      </c>
    </row>
    <row r="1290" spans="2:2" x14ac:dyDescent="0.2">
      <c r="B1290" s="396">
        <v>1290</v>
      </c>
    </row>
    <row r="1291" spans="2:2" x14ac:dyDescent="0.2">
      <c r="B1291" s="396">
        <v>1291</v>
      </c>
    </row>
    <row r="1292" spans="2:2" x14ac:dyDescent="0.2">
      <c r="B1292" s="396">
        <v>1292</v>
      </c>
    </row>
    <row r="1293" spans="2:2" x14ac:dyDescent="0.2">
      <c r="B1293" s="396">
        <v>1293</v>
      </c>
    </row>
    <row r="1294" spans="2:2" x14ac:dyDescent="0.2">
      <c r="B1294" s="396">
        <v>1294</v>
      </c>
    </row>
    <row r="1295" spans="2:2" x14ac:dyDescent="0.2">
      <c r="B1295" s="396">
        <v>1295</v>
      </c>
    </row>
    <row r="1296" spans="2:2" x14ac:dyDescent="0.2">
      <c r="B1296" s="396">
        <v>1296</v>
      </c>
    </row>
    <row r="1297" spans="2:2" x14ac:dyDescent="0.2">
      <c r="B1297" s="396">
        <v>1297</v>
      </c>
    </row>
    <row r="1298" spans="2:2" x14ac:dyDescent="0.2">
      <c r="B1298" s="396">
        <v>1298</v>
      </c>
    </row>
    <row r="1299" spans="2:2" x14ac:dyDescent="0.2">
      <c r="B1299" s="396">
        <v>1299</v>
      </c>
    </row>
    <row r="1300" spans="2:2" x14ac:dyDescent="0.2">
      <c r="B1300" s="396">
        <v>1300</v>
      </c>
    </row>
    <row r="1301" spans="2:2" x14ac:dyDescent="0.2">
      <c r="B1301" s="396">
        <v>1301</v>
      </c>
    </row>
    <row r="1302" spans="2:2" x14ac:dyDescent="0.2">
      <c r="B1302" s="396">
        <v>1302</v>
      </c>
    </row>
    <row r="1303" spans="2:2" x14ac:dyDescent="0.2">
      <c r="B1303" s="396">
        <v>1303</v>
      </c>
    </row>
    <row r="1304" spans="2:2" x14ac:dyDescent="0.2">
      <c r="B1304" s="396">
        <v>1304</v>
      </c>
    </row>
    <row r="1305" spans="2:2" x14ac:dyDescent="0.2">
      <c r="B1305" s="396">
        <v>1305</v>
      </c>
    </row>
    <row r="1306" spans="2:2" x14ac:dyDescent="0.2">
      <c r="B1306" s="396">
        <v>1306</v>
      </c>
    </row>
    <row r="1307" spans="2:2" x14ac:dyDescent="0.2">
      <c r="B1307" s="396">
        <v>1307</v>
      </c>
    </row>
    <row r="1308" spans="2:2" x14ac:dyDescent="0.2">
      <c r="B1308" s="396">
        <v>1308</v>
      </c>
    </row>
    <row r="1309" spans="2:2" x14ac:dyDescent="0.2">
      <c r="B1309" s="396">
        <v>1309</v>
      </c>
    </row>
    <row r="1310" spans="2:2" x14ac:dyDescent="0.2">
      <c r="B1310" s="396">
        <v>1310</v>
      </c>
    </row>
    <row r="1311" spans="2:2" x14ac:dyDescent="0.2">
      <c r="B1311" s="396">
        <v>1311</v>
      </c>
    </row>
    <row r="1312" spans="2:2" x14ac:dyDescent="0.2">
      <c r="B1312" s="396">
        <v>1312</v>
      </c>
    </row>
    <row r="1313" spans="2:2" x14ac:dyDescent="0.2">
      <c r="B1313" s="396">
        <v>1313</v>
      </c>
    </row>
    <row r="1314" spans="2:2" x14ac:dyDescent="0.2">
      <c r="B1314" s="396">
        <v>1314</v>
      </c>
    </row>
    <row r="1315" spans="2:2" x14ac:dyDescent="0.2">
      <c r="B1315" s="396">
        <v>1315</v>
      </c>
    </row>
    <row r="1316" spans="2:2" x14ac:dyDescent="0.2">
      <c r="B1316" s="396">
        <v>1316</v>
      </c>
    </row>
    <row r="1317" spans="2:2" x14ac:dyDescent="0.2">
      <c r="B1317" s="396">
        <v>1317</v>
      </c>
    </row>
    <row r="1318" spans="2:2" x14ac:dyDescent="0.2">
      <c r="B1318" s="396">
        <v>1318</v>
      </c>
    </row>
    <row r="1319" spans="2:2" x14ac:dyDescent="0.2">
      <c r="B1319" s="396">
        <v>1319</v>
      </c>
    </row>
    <row r="1320" spans="2:2" x14ac:dyDescent="0.2">
      <c r="B1320" s="396">
        <v>1320</v>
      </c>
    </row>
    <row r="1321" spans="2:2" x14ac:dyDescent="0.2">
      <c r="B1321" s="396">
        <v>1321</v>
      </c>
    </row>
    <row r="1322" spans="2:2" x14ac:dyDescent="0.2">
      <c r="B1322" s="396">
        <v>1322</v>
      </c>
    </row>
    <row r="1323" spans="2:2" x14ac:dyDescent="0.2">
      <c r="B1323" s="396">
        <v>1323</v>
      </c>
    </row>
    <row r="1324" spans="2:2" x14ac:dyDescent="0.2">
      <c r="B1324" s="396">
        <v>1324</v>
      </c>
    </row>
    <row r="1325" spans="2:2" x14ac:dyDescent="0.2">
      <c r="B1325" s="396">
        <v>1325</v>
      </c>
    </row>
    <row r="1326" spans="2:2" x14ac:dyDescent="0.2">
      <c r="B1326" s="396">
        <v>1326</v>
      </c>
    </row>
    <row r="1327" spans="2:2" x14ac:dyDescent="0.2">
      <c r="B1327" s="396">
        <v>1327</v>
      </c>
    </row>
    <row r="1328" spans="2:2" x14ac:dyDescent="0.2">
      <c r="B1328" s="396">
        <v>1328</v>
      </c>
    </row>
    <row r="1329" spans="2:2" x14ac:dyDescent="0.2">
      <c r="B1329" s="396">
        <v>1329</v>
      </c>
    </row>
    <row r="1330" spans="2:2" x14ac:dyDescent="0.2">
      <c r="B1330" s="396">
        <v>1330</v>
      </c>
    </row>
    <row r="1331" spans="2:2" x14ac:dyDescent="0.2">
      <c r="B1331" s="396">
        <v>1331</v>
      </c>
    </row>
    <row r="1332" spans="2:2" x14ac:dyDescent="0.2">
      <c r="B1332" s="396">
        <v>1332</v>
      </c>
    </row>
    <row r="1333" spans="2:2" x14ac:dyDescent="0.2">
      <c r="B1333" s="396">
        <v>1333</v>
      </c>
    </row>
    <row r="1334" spans="2:2" x14ac:dyDescent="0.2">
      <c r="B1334" s="396">
        <v>1334</v>
      </c>
    </row>
    <row r="1335" spans="2:2" x14ac:dyDescent="0.2">
      <c r="B1335" s="396">
        <v>1335</v>
      </c>
    </row>
    <row r="1336" spans="2:2" x14ac:dyDescent="0.2">
      <c r="B1336" s="396">
        <v>1336</v>
      </c>
    </row>
    <row r="1337" spans="2:2" x14ac:dyDescent="0.2">
      <c r="B1337" s="396">
        <v>1337</v>
      </c>
    </row>
    <row r="1338" spans="2:2" x14ac:dyDescent="0.2">
      <c r="B1338" s="396">
        <v>1338</v>
      </c>
    </row>
    <row r="1339" spans="2:2" x14ac:dyDescent="0.2">
      <c r="B1339" s="396">
        <v>1339</v>
      </c>
    </row>
    <row r="1340" spans="2:2" x14ac:dyDescent="0.2">
      <c r="B1340" s="396">
        <v>1340</v>
      </c>
    </row>
    <row r="1341" spans="2:2" x14ac:dyDescent="0.2">
      <c r="B1341" s="396">
        <v>1341</v>
      </c>
    </row>
    <row r="1342" spans="2:2" x14ac:dyDescent="0.2">
      <c r="B1342" s="396">
        <v>1342</v>
      </c>
    </row>
    <row r="1343" spans="2:2" x14ac:dyDescent="0.2">
      <c r="B1343" s="396">
        <v>1343</v>
      </c>
    </row>
    <row r="1344" spans="2:2" x14ac:dyDescent="0.2">
      <c r="B1344" s="396">
        <v>1344</v>
      </c>
    </row>
    <row r="1345" spans="2:2" x14ac:dyDescent="0.2">
      <c r="B1345" s="396">
        <v>1345</v>
      </c>
    </row>
    <row r="1346" spans="2:2" x14ac:dyDescent="0.2">
      <c r="B1346" s="396">
        <v>1346</v>
      </c>
    </row>
    <row r="1347" spans="2:2" x14ac:dyDescent="0.2">
      <c r="B1347" s="396">
        <v>1347</v>
      </c>
    </row>
    <row r="1348" spans="2:2" x14ac:dyDescent="0.2">
      <c r="B1348" s="396">
        <v>1348</v>
      </c>
    </row>
    <row r="1349" spans="2:2" x14ac:dyDescent="0.2">
      <c r="B1349" s="396">
        <v>1349</v>
      </c>
    </row>
    <row r="1350" spans="2:2" x14ac:dyDescent="0.2">
      <c r="B1350" s="396">
        <v>1350</v>
      </c>
    </row>
    <row r="1351" spans="2:2" x14ac:dyDescent="0.2">
      <c r="B1351" s="396">
        <v>1351</v>
      </c>
    </row>
    <row r="1352" spans="2:2" x14ac:dyDescent="0.2">
      <c r="B1352" s="396">
        <v>1352</v>
      </c>
    </row>
    <row r="1353" spans="2:2" x14ac:dyDescent="0.2">
      <c r="B1353" s="396">
        <v>1353</v>
      </c>
    </row>
    <row r="1354" spans="2:2" x14ac:dyDescent="0.2">
      <c r="B1354" s="396">
        <v>1354</v>
      </c>
    </row>
    <row r="1355" spans="2:2" x14ac:dyDescent="0.2">
      <c r="B1355" s="396">
        <v>1355</v>
      </c>
    </row>
    <row r="1356" spans="2:2" x14ac:dyDescent="0.2">
      <c r="B1356" s="396">
        <v>1356</v>
      </c>
    </row>
    <row r="1357" spans="2:2" x14ac:dyDescent="0.2">
      <c r="B1357" s="396">
        <v>1357</v>
      </c>
    </row>
    <row r="1358" spans="2:2" x14ac:dyDescent="0.2">
      <c r="B1358" s="396">
        <v>1358</v>
      </c>
    </row>
    <row r="1359" spans="2:2" x14ac:dyDescent="0.2">
      <c r="B1359" s="396">
        <v>1359</v>
      </c>
    </row>
    <row r="1360" spans="2:2" x14ac:dyDescent="0.2">
      <c r="B1360" s="396">
        <v>1360</v>
      </c>
    </row>
    <row r="1361" spans="2:2" x14ac:dyDescent="0.2">
      <c r="B1361" s="396">
        <v>1361</v>
      </c>
    </row>
    <row r="1362" spans="2:2" x14ac:dyDescent="0.2">
      <c r="B1362" s="396">
        <v>1362</v>
      </c>
    </row>
    <row r="1363" spans="2:2" x14ac:dyDescent="0.2">
      <c r="B1363" s="396">
        <v>1363</v>
      </c>
    </row>
    <row r="1364" spans="2:2" x14ac:dyDescent="0.2">
      <c r="B1364" s="396">
        <v>1364</v>
      </c>
    </row>
    <row r="1365" spans="2:2" x14ac:dyDescent="0.2">
      <c r="B1365" s="396">
        <v>1365</v>
      </c>
    </row>
    <row r="1366" spans="2:2" x14ac:dyDescent="0.2">
      <c r="B1366" s="396">
        <v>1366</v>
      </c>
    </row>
    <row r="1367" spans="2:2" x14ac:dyDescent="0.2">
      <c r="B1367" s="396">
        <v>1367</v>
      </c>
    </row>
    <row r="1368" spans="2:2" x14ac:dyDescent="0.2">
      <c r="B1368" s="396">
        <v>1368</v>
      </c>
    </row>
    <row r="1369" spans="2:2" x14ac:dyDescent="0.2">
      <c r="B1369" s="396">
        <v>1369</v>
      </c>
    </row>
    <row r="1370" spans="2:2" x14ac:dyDescent="0.2">
      <c r="B1370" s="396">
        <v>1370</v>
      </c>
    </row>
    <row r="1371" spans="2:2" x14ac:dyDescent="0.2">
      <c r="B1371" s="396">
        <v>1371</v>
      </c>
    </row>
    <row r="1372" spans="2:2" x14ac:dyDescent="0.2">
      <c r="B1372" s="396">
        <v>1372</v>
      </c>
    </row>
    <row r="1373" spans="2:2" x14ac:dyDescent="0.2">
      <c r="B1373" s="396">
        <v>1373</v>
      </c>
    </row>
    <row r="1374" spans="2:2" x14ac:dyDescent="0.2">
      <c r="B1374" s="396">
        <v>1374</v>
      </c>
    </row>
    <row r="1375" spans="2:2" x14ac:dyDescent="0.2">
      <c r="B1375" s="396">
        <v>1375</v>
      </c>
    </row>
    <row r="1376" spans="2:2" x14ac:dyDescent="0.2">
      <c r="B1376" s="396">
        <v>1376</v>
      </c>
    </row>
    <row r="1377" spans="2:2" x14ac:dyDescent="0.2">
      <c r="B1377" s="396">
        <v>1377</v>
      </c>
    </row>
    <row r="1378" spans="2:2" x14ac:dyDescent="0.2">
      <c r="B1378" s="396">
        <v>1378</v>
      </c>
    </row>
    <row r="1379" spans="2:2" x14ac:dyDescent="0.2">
      <c r="B1379" s="396">
        <v>1379</v>
      </c>
    </row>
    <row r="1380" spans="2:2" x14ac:dyDescent="0.2">
      <c r="B1380" s="396">
        <v>1380</v>
      </c>
    </row>
    <row r="1381" spans="2:2" x14ac:dyDescent="0.2">
      <c r="B1381" s="396">
        <v>1381</v>
      </c>
    </row>
    <row r="1382" spans="2:2" x14ac:dyDescent="0.2">
      <c r="B1382" s="396">
        <v>1382</v>
      </c>
    </row>
    <row r="1383" spans="2:2" x14ac:dyDescent="0.2">
      <c r="B1383" s="396">
        <v>1383</v>
      </c>
    </row>
    <row r="1384" spans="2:2" x14ac:dyDescent="0.2">
      <c r="B1384" s="396">
        <v>1384</v>
      </c>
    </row>
    <row r="1385" spans="2:2" x14ac:dyDescent="0.2">
      <c r="B1385" s="396">
        <v>1385</v>
      </c>
    </row>
    <row r="1386" spans="2:2" x14ac:dyDescent="0.2">
      <c r="B1386" s="396">
        <v>1386</v>
      </c>
    </row>
    <row r="1387" spans="2:2" x14ac:dyDescent="0.2">
      <c r="B1387" s="396">
        <v>1387</v>
      </c>
    </row>
    <row r="1388" spans="2:2" x14ac:dyDescent="0.2">
      <c r="B1388" s="396">
        <v>1388</v>
      </c>
    </row>
    <row r="1389" spans="2:2" x14ac:dyDescent="0.2">
      <c r="B1389" s="396">
        <v>1389</v>
      </c>
    </row>
    <row r="1390" spans="2:2" x14ac:dyDescent="0.2">
      <c r="B1390" s="396">
        <v>1390</v>
      </c>
    </row>
    <row r="1391" spans="2:2" x14ac:dyDescent="0.2">
      <c r="B1391" s="396">
        <v>1391</v>
      </c>
    </row>
    <row r="1392" spans="2:2" x14ac:dyDescent="0.2">
      <c r="B1392" s="396">
        <v>1392</v>
      </c>
    </row>
    <row r="1393" spans="2:2" x14ac:dyDescent="0.2">
      <c r="B1393" s="396">
        <v>1393</v>
      </c>
    </row>
    <row r="1394" spans="2:2" x14ac:dyDescent="0.2">
      <c r="B1394" s="396">
        <v>1394</v>
      </c>
    </row>
    <row r="1395" spans="2:2" x14ac:dyDescent="0.2">
      <c r="B1395" s="396">
        <v>1395</v>
      </c>
    </row>
    <row r="1396" spans="2:2" x14ac:dyDescent="0.2">
      <c r="B1396" s="396">
        <v>1396</v>
      </c>
    </row>
    <row r="1397" spans="2:2" x14ac:dyDescent="0.2">
      <c r="B1397" s="396">
        <v>1397</v>
      </c>
    </row>
    <row r="1398" spans="2:2" x14ac:dyDescent="0.2">
      <c r="B1398" s="396">
        <v>1398</v>
      </c>
    </row>
    <row r="1399" spans="2:2" x14ac:dyDescent="0.2">
      <c r="B1399" s="396">
        <v>1399</v>
      </c>
    </row>
    <row r="1400" spans="2:2" x14ac:dyDescent="0.2">
      <c r="B1400" s="396">
        <v>1400</v>
      </c>
    </row>
    <row r="1401" spans="2:2" x14ac:dyDescent="0.2">
      <c r="B1401" s="396">
        <v>1401</v>
      </c>
    </row>
    <row r="1402" spans="2:2" x14ac:dyDescent="0.2">
      <c r="B1402" s="396">
        <v>1402</v>
      </c>
    </row>
    <row r="1403" spans="2:2" x14ac:dyDescent="0.2">
      <c r="B1403" s="396">
        <v>1403</v>
      </c>
    </row>
    <row r="1404" spans="2:2" x14ac:dyDescent="0.2">
      <c r="B1404" s="396">
        <v>1404</v>
      </c>
    </row>
    <row r="1405" spans="2:2" x14ac:dyDescent="0.2">
      <c r="B1405" s="396">
        <v>1405</v>
      </c>
    </row>
    <row r="1406" spans="2:2" x14ac:dyDescent="0.2">
      <c r="B1406" s="396">
        <v>1406</v>
      </c>
    </row>
    <row r="1407" spans="2:2" x14ac:dyDescent="0.2">
      <c r="B1407" s="396">
        <v>1407</v>
      </c>
    </row>
    <row r="1408" spans="2:2" x14ac:dyDescent="0.2">
      <c r="B1408" s="396">
        <v>1408</v>
      </c>
    </row>
    <row r="1409" spans="2:2" x14ac:dyDescent="0.2">
      <c r="B1409" s="396">
        <v>1409</v>
      </c>
    </row>
    <row r="1410" spans="2:2" x14ac:dyDescent="0.2">
      <c r="B1410" s="396">
        <v>1410</v>
      </c>
    </row>
    <row r="1411" spans="2:2" x14ac:dyDescent="0.2">
      <c r="B1411" s="396">
        <v>1411</v>
      </c>
    </row>
    <row r="1412" spans="2:2" x14ac:dyDescent="0.2">
      <c r="B1412" s="396">
        <v>1412</v>
      </c>
    </row>
    <row r="1413" spans="2:2" x14ac:dyDescent="0.2">
      <c r="B1413" s="396">
        <v>1413</v>
      </c>
    </row>
    <row r="1414" spans="2:2" x14ac:dyDescent="0.2">
      <c r="B1414" s="396">
        <v>1414</v>
      </c>
    </row>
    <row r="1415" spans="2:2" x14ac:dyDescent="0.2">
      <c r="B1415" s="396">
        <v>1415</v>
      </c>
    </row>
    <row r="1416" spans="2:2" x14ac:dyDescent="0.2">
      <c r="B1416" s="396">
        <v>1416</v>
      </c>
    </row>
    <row r="1417" spans="2:2" x14ac:dyDescent="0.2">
      <c r="B1417" s="396">
        <v>1417</v>
      </c>
    </row>
    <row r="1418" spans="2:2" x14ac:dyDescent="0.2">
      <c r="B1418" s="396">
        <v>1418</v>
      </c>
    </row>
    <row r="1419" spans="2:2" x14ac:dyDescent="0.2">
      <c r="B1419" s="396">
        <v>1419</v>
      </c>
    </row>
    <row r="1420" spans="2:2" x14ac:dyDescent="0.2">
      <c r="B1420" s="396">
        <v>1420</v>
      </c>
    </row>
    <row r="1421" spans="2:2" x14ac:dyDescent="0.2">
      <c r="B1421" s="396">
        <v>1421</v>
      </c>
    </row>
    <row r="1422" spans="2:2" x14ac:dyDescent="0.2">
      <c r="B1422" s="396">
        <v>1422</v>
      </c>
    </row>
    <row r="1423" spans="2:2" x14ac:dyDescent="0.2">
      <c r="B1423" s="396">
        <v>1423</v>
      </c>
    </row>
    <row r="1424" spans="2:2" x14ac:dyDescent="0.2">
      <c r="B1424" s="396">
        <v>1424</v>
      </c>
    </row>
    <row r="1425" spans="2:2" x14ac:dyDescent="0.2">
      <c r="B1425" s="396">
        <v>1425</v>
      </c>
    </row>
    <row r="1426" spans="2:2" x14ac:dyDescent="0.2">
      <c r="B1426" s="396">
        <v>1426</v>
      </c>
    </row>
    <row r="1427" spans="2:2" x14ac:dyDescent="0.2">
      <c r="B1427" s="396">
        <v>1427</v>
      </c>
    </row>
    <row r="1428" spans="2:2" x14ac:dyDescent="0.2">
      <c r="B1428" s="396">
        <v>1428</v>
      </c>
    </row>
    <row r="1429" spans="2:2" x14ac:dyDescent="0.2">
      <c r="B1429" s="396">
        <v>1429</v>
      </c>
    </row>
    <row r="1430" spans="2:2" x14ac:dyDescent="0.2">
      <c r="B1430" s="396">
        <v>1430</v>
      </c>
    </row>
    <row r="1431" spans="2:2" x14ac:dyDescent="0.2">
      <c r="B1431" s="396">
        <v>1431</v>
      </c>
    </row>
    <row r="1432" spans="2:2" x14ac:dyDescent="0.2">
      <c r="B1432" s="396">
        <v>1432</v>
      </c>
    </row>
    <row r="1433" spans="2:2" x14ac:dyDescent="0.2">
      <c r="B1433" s="396">
        <v>1433</v>
      </c>
    </row>
    <row r="1434" spans="2:2" x14ac:dyDescent="0.2">
      <c r="B1434" s="396">
        <v>1434</v>
      </c>
    </row>
    <row r="1435" spans="2:2" x14ac:dyDescent="0.2">
      <c r="B1435" s="396">
        <v>1435</v>
      </c>
    </row>
    <row r="1436" spans="2:2" x14ac:dyDescent="0.2">
      <c r="B1436" s="396">
        <v>1436</v>
      </c>
    </row>
    <row r="1437" spans="2:2" x14ac:dyDescent="0.2">
      <c r="B1437" s="396">
        <v>1437</v>
      </c>
    </row>
    <row r="1438" spans="2:2" x14ac:dyDescent="0.2">
      <c r="B1438" s="396">
        <v>1438</v>
      </c>
    </row>
    <row r="1439" spans="2:2" x14ac:dyDescent="0.2">
      <c r="B1439" s="396">
        <v>1439</v>
      </c>
    </row>
    <row r="1440" spans="2:2" x14ac:dyDescent="0.2">
      <c r="B1440" s="396">
        <v>1440</v>
      </c>
    </row>
    <row r="1441" spans="2:2" x14ac:dyDescent="0.2">
      <c r="B1441" s="396">
        <v>1441</v>
      </c>
    </row>
    <row r="1442" spans="2:2" x14ac:dyDescent="0.2">
      <c r="B1442" s="396">
        <v>1442</v>
      </c>
    </row>
    <row r="1443" spans="2:2" x14ac:dyDescent="0.2">
      <c r="B1443" s="396">
        <v>1443</v>
      </c>
    </row>
    <row r="1444" spans="2:2" x14ac:dyDescent="0.2">
      <c r="B1444" s="396">
        <v>1444</v>
      </c>
    </row>
    <row r="1445" spans="2:2" x14ac:dyDescent="0.2">
      <c r="B1445" s="396">
        <v>1445</v>
      </c>
    </row>
    <row r="1446" spans="2:2" x14ac:dyDescent="0.2">
      <c r="B1446" s="396">
        <v>1446</v>
      </c>
    </row>
    <row r="1447" spans="2:2" x14ac:dyDescent="0.2">
      <c r="B1447" s="396">
        <v>1447</v>
      </c>
    </row>
    <row r="1448" spans="2:2" x14ac:dyDescent="0.2">
      <c r="B1448" s="396">
        <v>1448</v>
      </c>
    </row>
    <row r="1449" spans="2:2" x14ac:dyDescent="0.2">
      <c r="B1449" s="396">
        <v>1449</v>
      </c>
    </row>
    <row r="1450" spans="2:2" x14ac:dyDescent="0.2">
      <c r="B1450" s="396">
        <v>1450</v>
      </c>
    </row>
    <row r="1451" spans="2:2" x14ac:dyDescent="0.2">
      <c r="B1451" s="396">
        <v>1451</v>
      </c>
    </row>
    <row r="1452" spans="2:2" x14ac:dyDescent="0.2">
      <c r="B1452" s="396">
        <v>1452</v>
      </c>
    </row>
    <row r="1453" spans="2:2" x14ac:dyDescent="0.2">
      <c r="B1453" s="396">
        <v>1453</v>
      </c>
    </row>
    <row r="1454" spans="2:2" x14ac:dyDescent="0.2">
      <c r="B1454" s="396">
        <v>1454</v>
      </c>
    </row>
    <row r="1455" spans="2:2" x14ac:dyDescent="0.2">
      <c r="B1455" s="396">
        <v>1455</v>
      </c>
    </row>
    <row r="1456" spans="2:2" x14ac:dyDescent="0.2">
      <c r="B1456" s="396">
        <v>1456</v>
      </c>
    </row>
    <row r="1457" spans="2:2" x14ac:dyDescent="0.2">
      <c r="B1457" s="396">
        <v>1457</v>
      </c>
    </row>
    <row r="1458" spans="2:2" x14ac:dyDescent="0.2">
      <c r="B1458" s="396">
        <v>1458</v>
      </c>
    </row>
    <row r="1459" spans="2:2" x14ac:dyDescent="0.2">
      <c r="B1459" s="396">
        <v>1459</v>
      </c>
    </row>
    <row r="1460" spans="2:2" x14ac:dyDescent="0.2">
      <c r="B1460" s="396">
        <v>1460</v>
      </c>
    </row>
    <row r="1461" spans="2:2" x14ac:dyDescent="0.2">
      <c r="B1461" s="396">
        <v>1461</v>
      </c>
    </row>
    <row r="1462" spans="2:2" x14ac:dyDescent="0.2">
      <c r="B1462" s="396">
        <v>1462</v>
      </c>
    </row>
    <row r="1463" spans="2:2" x14ac:dyDescent="0.2">
      <c r="B1463" s="396">
        <v>1463</v>
      </c>
    </row>
    <row r="1464" spans="2:2" x14ac:dyDescent="0.2">
      <c r="B1464" s="396">
        <v>1464</v>
      </c>
    </row>
    <row r="1465" spans="2:2" x14ac:dyDescent="0.2">
      <c r="B1465" s="396">
        <v>1465</v>
      </c>
    </row>
    <row r="1466" spans="2:2" x14ac:dyDescent="0.2">
      <c r="B1466" s="396">
        <v>1466</v>
      </c>
    </row>
    <row r="1467" spans="2:2" x14ac:dyDescent="0.2">
      <c r="B1467" s="396">
        <v>1467</v>
      </c>
    </row>
    <row r="1468" spans="2:2" x14ac:dyDescent="0.2">
      <c r="B1468" s="396">
        <v>1468</v>
      </c>
    </row>
    <row r="1469" spans="2:2" x14ac:dyDescent="0.2">
      <c r="B1469" s="396">
        <v>1469</v>
      </c>
    </row>
    <row r="1470" spans="2:2" x14ac:dyDescent="0.2">
      <c r="B1470" s="396">
        <v>1470</v>
      </c>
    </row>
    <row r="1471" spans="2:2" x14ac:dyDescent="0.2">
      <c r="B1471" s="396">
        <v>1471</v>
      </c>
    </row>
    <row r="1472" spans="2:2" x14ac:dyDescent="0.2">
      <c r="B1472" s="396">
        <v>1472</v>
      </c>
    </row>
    <row r="1473" spans="2:2" x14ac:dyDescent="0.2">
      <c r="B1473" s="396">
        <v>1473</v>
      </c>
    </row>
    <row r="1474" spans="2:2" x14ac:dyDescent="0.2">
      <c r="B1474" s="396">
        <v>1474</v>
      </c>
    </row>
    <row r="1475" spans="2:2" x14ac:dyDescent="0.2">
      <c r="B1475" s="396">
        <v>1475</v>
      </c>
    </row>
    <row r="1476" spans="2:2" x14ac:dyDescent="0.2">
      <c r="B1476" s="396">
        <v>1476</v>
      </c>
    </row>
    <row r="1477" spans="2:2" x14ac:dyDescent="0.2">
      <c r="B1477" s="396">
        <v>1477</v>
      </c>
    </row>
    <row r="1478" spans="2:2" x14ac:dyDescent="0.2">
      <c r="B1478" s="396">
        <v>1478</v>
      </c>
    </row>
    <row r="1479" spans="2:2" x14ac:dyDescent="0.2">
      <c r="B1479" s="396">
        <v>1479</v>
      </c>
    </row>
    <row r="1480" spans="2:2" x14ac:dyDescent="0.2">
      <c r="B1480" s="396">
        <v>1480</v>
      </c>
    </row>
    <row r="1481" spans="2:2" x14ac:dyDescent="0.2">
      <c r="B1481" s="396">
        <v>1481</v>
      </c>
    </row>
    <row r="1482" spans="2:2" x14ac:dyDescent="0.2">
      <c r="B1482" s="396">
        <v>1482</v>
      </c>
    </row>
    <row r="1483" spans="2:2" x14ac:dyDescent="0.2">
      <c r="B1483" s="396">
        <v>1483</v>
      </c>
    </row>
    <row r="1484" spans="2:2" x14ac:dyDescent="0.2">
      <c r="B1484" s="396">
        <v>1484</v>
      </c>
    </row>
    <row r="1485" spans="2:2" x14ac:dyDescent="0.2">
      <c r="B1485" s="396">
        <v>1485</v>
      </c>
    </row>
    <row r="1486" spans="2:2" x14ac:dyDescent="0.2">
      <c r="B1486" s="396">
        <v>1486</v>
      </c>
    </row>
    <row r="1487" spans="2:2" x14ac:dyDescent="0.2">
      <c r="B1487" s="396">
        <v>1487</v>
      </c>
    </row>
    <row r="1488" spans="2:2" x14ac:dyDescent="0.2">
      <c r="B1488" s="396">
        <v>1488</v>
      </c>
    </row>
    <row r="1489" spans="2:2" x14ac:dyDescent="0.2">
      <c r="B1489" s="396">
        <v>1489</v>
      </c>
    </row>
    <row r="1490" spans="2:2" x14ac:dyDescent="0.2">
      <c r="B1490" s="396">
        <v>1490</v>
      </c>
    </row>
    <row r="1491" spans="2:2" x14ac:dyDescent="0.2">
      <c r="B1491" s="396">
        <v>1491</v>
      </c>
    </row>
    <row r="1492" spans="2:2" x14ac:dyDescent="0.2">
      <c r="B1492" s="396">
        <v>1492</v>
      </c>
    </row>
    <row r="1493" spans="2:2" x14ac:dyDescent="0.2">
      <c r="B1493" s="396">
        <v>1493</v>
      </c>
    </row>
    <row r="1494" spans="2:2" x14ac:dyDescent="0.2">
      <c r="B1494" s="396">
        <v>1494</v>
      </c>
    </row>
    <row r="1495" spans="2:2" x14ac:dyDescent="0.2">
      <c r="B1495" s="396">
        <v>1495</v>
      </c>
    </row>
    <row r="1496" spans="2:2" x14ac:dyDescent="0.2">
      <c r="B1496" s="396">
        <v>1496</v>
      </c>
    </row>
    <row r="1497" spans="2:2" x14ac:dyDescent="0.2">
      <c r="B1497" s="396">
        <v>1497</v>
      </c>
    </row>
    <row r="1498" spans="2:2" x14ac:dyDescent="0.2">
      <c r="B1498" s="396">
        <v>1498</v>
      </c>
    </row>
    <row r="1499" spans="2:2" x14ac:dyDescent="0.2">
      <c r="B1499" s="396">
        <v>1499</v>
      </c>
    </row>
    <row r="1500" spans="2:2" x14ac:dyDescent="0.2">
      <c r="B1500" s="396">
        <v>1500</v>
      </c>
    </row>
    <row r="1501" spans="2:2" x14ac:dyDescent="0.2">
      <c r="B1501" s="396">
        <v>1501</v>
      </c>
    </row>
    <row r="1502" spans="2:2" x14ac:dyDescent="0.2">
      <c r="B1502" s="396">
        <v>1502</v>
      </c>
    </row>
    <row r="1503" spans="2:2" x14ac:dyDescent="0.2">
      <c r="B1503" s="396">
        <v>1503</v>
      </c>
    </row>
    <row r="1504" spans="2:2" x14ac:dyDescent="0.2">
      <c r="B1504" s="396">
        <v>1504</v>
      </c>
    </row>
    <row r="1505" spans="2:2" x14ac:dyDescent="0.2">
      <c r="B1505" s="396">
        <v>1505</v>
      </c>
    </row>
    <row r="1506" spans="2:2" x14ac:dyDescent="0.2">
      <c r="B1506" s="396">
        <v>1506</v>
      </c>
    </row>
    <row r="1507" spans="2:2" x14ac:dyDescent="0.2">
      <c r="B1507" s="396">
        <v>1507</v>
      </c>
    </row>
    <row r="1508" spans="2:2" x14ac:dyDescent="0.2">
      <c r="B1508" s="396">
        <v>1508</v>
      </c>
    </row>
    <row r="1509" spans="2:2" x14ac:dyDescent="0.2">
      <c r="B1509" s="396">
        <v>1509</v>
      </c>
    </row>
    <row r="1510" spans="2:2" x14ac:dyDescent="0.2">
      <c r="B1510" s="396">
        <v>1510</v>
      </c>
    </row>
    <row r="1511" spans="2:2" x14ac:dyDescent="0.2">
      <c r="B1511" s="396">
        <v>1511</v>
      </c>
    </row>
    <row r="1512" spans="2:2" x14ac:dyDescent="0.2">
      <c r="B1512" s="396">
        <v>1512</v>
      </c>
    </row>
    <row r="1513" spans="2:2" x14ac:dyDescent="0.2">
      <c r="B1513" s="396">
        <v>1513</v>
      </c>
    </row>
    <row r="1514" spans="2:2" x14ac:dyDescent="0.2">
      <c r="B1514" s="396">
        <v>1514</v>
      </c>
    </row>
    <row r="1515" spans="2:2" x14ac:dyDescent="0.2">
      <c r="B1515" s="396">
        <v>1515</v>
      </c>
    </row>
    <row r="1516" spans="2:2" x14ac:dyDescent="0.2">
      <c r="B1516" s="396">
        <v>1516</v>
      </c>
    </row>
    <row r="1517" spans="2:2" x14ac:dyDescent="0.2">
      <c r="B1517" s="396">
        <v>1517</v>
      </c>
    </row>
    <row r="1518" spans="2:2" x14ac:dyDescent="0.2">
      <c r="B1518" s="396">
        <v>1518</v>
      </c>
    </row>
    <row r="1519" spans="2:2" x14ac:dyDescent="0.2">
      <c r="B1519" s="396">
        <v>1519</v>
      </c>
    </row>
    <row r="1520" spans="2:2" x14ac:dyDescent="0.2">
      <c r="B1520" s="396">
        <v>1520</v>
      </c>
    </row>
    <row r="1521" spans="2:2" x14ac:dyDescent="0.2">
      <c r="B1521" s="396">
        <v>1521</v>
      </c>
    </row>
    <row r="1522" spans="2:2" x14ac:dyDescent="0.2">
      <c r="B1522" s="396">
        <v>1522</v>
      </c>
    </row>
    <row r="1523" spans="2:2" x14ac:dyDescent="0.2">
      <c r="B1523" s="396">
        <v>1523</v>
      </c>
    </row>
    <row r="1524" spans="2:2" x14ac:dyDescent="0.2">
      <c r="B1524" s="396">
        <v>1524</v>
      </c>
    </row>
    <row r="1525" spans="2:2" x14ac:dyDescent="0.2">
      <c r="B1525" s="396">
        <v>1525</v>
      </c>
    </row>
    <row r="1526" spans="2:2" x14ac:dyDescent="0.2">
      <c r="B1526" s="396">
        <v>1526</v>
      </c>
    </row>
    <row r="1527" spans="2:2" x14ac:dyDescent="0.2">
      <c r="B1527" s="396">
        <v>1527</v>
      </c>
    </row>
    <row r="1528" spans="2:2" x14ac:dyDescent="0.2">
      <c r="B1528" s="396">
        <v>1528</v>
      </c>
    </row>
    <row r="1529" spans="2:2" x14ac:dyDescent="0.2">
      <c r="B1529" s="396">
        <v>1529</v>
      </c>
    </row>
    <row r="1530" spans="2:2" x14ac:dyDescent="0.2">
      <c r="B1530" s="396">
        <v>1530</v>
      </c>
    </row>
    <row r="1531" spans="2:2" x14ac:dyDescent="0.2">
      <c r="B1531" s="396">
        <v>1531</v>
      </c>
    </row>
    <row r="1532" spans="2:2" x14ac:dyDescent="0.2">
      <c r="B1532" s="396">
        <v>1532</v>
      </c>
    </row>
    <row r="1533" spans="2:2" x14ac:dyDescent="0.2">
      <c r="B1533" s="396">
        <v>1533</v>
      </c>
    </row>
    <row r="1534" spans="2:2" x14ac:dyDescent="0.2">
      <c r="B1534" s="396">
        <v>1534</v>
      </c>
    </row>
    <row r="1535" spans="2:2" x14ac:dyDescent="0.2">
      <c r="B1535" s="396">
        <v>1535</v>
      </c>
    </row>
    <row r="1536" spans="2:2" x14ac:dyDescent="0.2">
      <c r="B1536" s="396">
        <v>1536</v>
      </c>
    </row>
    <row r="1537" spans="2:2" x14ac:dyDescent="0.2">
      <c r="B1537" s="396">
        <v>1537</v>
      </c>
    </row>
    <row r="1538" spans="2:2" x14ac:dyDescent="0.2">
      <c r="B1538" s="396">
        <v>1538</v>
      </c>
    </row>
    <row r="1539" spans="2:2" x14ac:dyDescent="0.2">
      <c r="B1539" s="396">
        <v>1539</v>
      </c>
    </row>
    <row r="1540" spans="2:2" x14ac:dyDescent="0.2">
      <c r="B1540" s="396">
        <v>1540</v>
      </c>
    </row>
    <row r="1541" spans="2:2" x14ac:dyDescent="0.2">
      <c r="B1541" s="396">
        <v>1541</v>
      </c>
    </row>
    <row r="1542" spans="2:2" x14ac:dyDescent="0.2">
      <c r="B1542" s="396">
        <v>1542</v>
      </c>
    </row>
    <row r="1543" spans="2:2" x14ac:dyDescent="0.2">
      <c r="B1543" s="396">
        <v>1543</v>
      </c>
    </row>
    <row r="1544" spans="2:2" x14ac:dyDescent="0.2">
      <c r="B1544" s="396">
        <v>1544</v>
      </c>
    </row>
    <row r="1545" spans="2:2" x14ac:dyDescent="0.2">
      <c r="B1545" s="396">
        <v>1545</v>
      </c>
    </row>
    <row r="1546" spans="2:2" x14ac:dyDescent="0.2">
      <c r="B1546" s="396">
        <v>1546</v>
      </c>
    </row>
    <row r="1547" spans="2:2" x14ac:dyDescent="0.2">
      <c r="B1547" s="396">
        <v>1547</v>
      </c>
    </row>
    <row r="1548" spans="2:2" x14ac:dyDescent="0.2">
      <c r="B1548" s="396">
        <v>1548</v>
      </c>
    </row>
    <row r="1549" spans="2:2" x14ac:dyDescent="0.2">
      <c r="B1549" s="396">
        <v>1549</v>
      </c>
    </row>
    <row r="1550" spans="2:2" x14ac:dyDescent="0.2">
      <c r="B1550" s="396">
        <v>1550</v>
      </c>
    </row>
    <row r="1551" spans="2:2" x14ac:dyDescent="0.2">
      <c r="B1551" s="396">
        <v>1551</v>
      </c>
    </row>
    <row r="1552" spans="2:2" x14ac:dyDescent="0.2">
      <c r="B1552" s="396">
        <v>1552</v>
      </c>
    </row>
    <row r="1553" spans="2:2" x14ac:dyDescent="0.2">
      <c r="B1553" s="396">
        <v>1553</v>
      </c>
    </row>
    <row r="1554" spans="2:2" x14ac:dyDescent="0.2">
      <c r="B1554" s="396">
        <v>1554</v>
      </c>
    </row>
    <row r="1555" spans="2:2" x14ac:dyDescent="0.2">
      <c r="B1555" s="396">
        <v>1555</v>
      </c>
    </row>
    <row r="1556" spans="2:2" x14ac:dyDescent="0.2">
      <c r="B1556" s="396">
        <v>1556</v>
      </c>
    </row>
    <row r="1557" spans="2:2" x14ac:dyDescent="0.2">
      <c r="B1557" s="396">
        <v>1557</v>
      </c>
    </row>
    <row r="1558" spans="2:2" x14ac:dyDescent="0.2">
      <c r="B1558" s="396">
        <v>1558</v>
      </c>
    </row>
    <row r="1559" spans="2:2" x14ac:dyDescent="0.2">
      <c r="B1559" s="396">
        <v>1559</v>
      </c>
    </row>
    <row r="1560" spans="2:2" x14ac:dyDescent="0.2">
      <c r="B1560" s="396">
        <v>1560</v>
      </c>
    </row>
    <row r="1561" spans="2:2" x14ac:dyDescent="0.2">
      <c r="B1561" s="396">
        <v>1561</v>
      </c>
    </row>
    <row r="1562" spans="2:2" x14ac:dyDescent="0.2">
      <c r="B1562" s="396">
        <v>1562</v>
      </c>
    </row>
    <row r="1563" spans="2:2" x14ac:dyDescent="0.2">
      <c r="B1563" s="396">
        <v>1563</v>
      </c>
    </row>
    <row r="1564" spans="2:2" x14ac:dyDescent="0.2">
      <c r="B1564" s="396">
        <v>1564</v>
      </c>
    </row>
    <row r="1565" spans="2:2" x14ac:dyDescent="0.2">
      <c r="B1565" s="396">
        <v>1565</v>
      </c>
    </row>
    <row r="1566" spans="2:2" x14ac:dyDescent="0.2">
      <c r="B1566" s="396">
        <v>1566</v>
      </c>
    </row>
    <row r="1567" spans="2:2" x14ac:dyDescent="0.2">
      <c r="B1567" s="396">
        <v>1567</v>
      </c>
    </row>
    <row r="1568" spans="2:2" x14ac:dyDescent="0.2">
      <c r="B1568" s="396">
        <v>1568</v>
      </c>
    </row>
    <row r="1569" spans="2:2" x14ac:dyDescent="0.2">
      <c r="B1569" s="396">
        <v>1569</v>
      </c>
    </row>
    <row r="1570" spans="2:2" x14ac:dyDescent="0.2">
      <c r="B1570" s="396">
        <v>1570</v>
      </c>
    </row>
    <row r="1571" spans="2:2" x14ac:dyDescent="0.2">
      <c r="B1571" s="396">
        <v>1571</v>
      </c>
    </row>
    <row r="1572" spans="2:2" x14ac:dyDescent="0.2">
      <c r="B1572" s="396">
        <v>1572</v>
      </c>
    </row>
    <row r="1573" spans="2:2" x14ac:dyDescent="0.2">
      <c r="B1573" s="396">
        <v>1573</v>
      </c>
    </row>
    <row r="1574" spans="2:2" x14ac:dyDescent="0.2">
      <c r="B1574" s="396">
        <v>1574</v>
      </c>
    </row>
    <row r="1575" spans="2:2" x14ac:dyDescent="0.2">
      <c r="B1575" s="396">
        <v>1575</v>
      </c>
    </row>
    <row r="1576" spans="2:2" x14ac:dyDescent="0.2">
      <c r="B1576" s="396">
        <v>1576</v>
      </c>
    </row>
    <row r="1577" spans="2:2" x14ac:dyDescent="0.2">
      <c r="B1577" s="396">
        <v>1577</v>
      </c>
    </row>
    <row r="1578" spans="2:2" x14ac:dyDescent="0.2">
      <c r="B1578" s="396">
        <v>1578</v>
      </c>
    </row>
    <row r="1579" spans="2:2" x14ac:dyDescent="0.2">
      <c r="B1579" s="396">
        <v>1579</v>
      </c>
    </row>
    <row r="1580" spans="2:2" x14ac:dyDescent="0.2">
      <c r="B1580" s="396">
        <v>1580</v>
      </c>
    </row>
    <row r="1581" spans="2:2" x14ac:dyDescent="0.2">
      <c r="B1581" s="396">
        <v>1581</v>
      </c>
    </row>
    <row r="1582" spans="2:2" x14ac:dyDescent="0.2">
      <c r="B1582" s="396">
        <v>1582</v>
      </c>
    </row>
    <row r="1583" spans="2:2" x14ac:dyDescent="0.2">
      <c r="B1583" s="396">
        <v>1583</v>
      </c>
    </row>
    <row r="1584" spans="2:2" x14ac:dyDescent="0.2">
      <c r="B1584" s="396">
        <v>1584</v>
      </c>
    </row>
    <row r="1585" spans="2:2" x14ac:dyDescent="0.2">
      <c r="B1585" s="396">
        <v>1585</v>
      </c>
    </row>
    <row r="1586" spans="2:2" x14ac:dyDescent="0.2">
      <c r="B1586" s="396">
        <v>1586</v>
      </c>
    </row>
    <row r="1587" spans="2:2" x14ac:dyDescent="0.2">
      <c r="B1587" s="396">
        <v>1587</v>
      </c>
    </row>
    <row r="1588" spans="2:2" x14ac:dyDescent="0.2">
      <c r="B1588" s="396">
        <v>1588</v>
      </c>
    </row>
    <row r="1589" spans="2:2" x14ac:dyDescent="0.2">
      <c r="B1589" s="396">
        <v>1589</v>
      </c>
    </row>
    <row r="1590" spans="2:2" x14ac:dyDescent="0.2">
      <c r="B1590" s="396">
        <v>1590</v>
      </c>
    </row>
    <row r="1591" spans="2:2" x14ac:dyDescent="0.2">
      <c r="B1591" s="396">
        <v>1591</v>
      </c>
    </row>
    <row r="1592" spans="2:2" x14ac:dyDescent="0.2">
      <c r="B1592" s="396">
        <v>1592</v>
      </c>
    </row>
    <row r="1593" spans="2:2" x14ac:dyDescent="0.2">
      <c r="B1593" s="396">
        <v>1593</v>
      </c>
    </row>
    <row r="1594" spans="2:2" x14ac:dyDescent="0.2">
      <c r="B1594" s="396">
        <v>1594</v>
      </c>
    </row>
    <row r="1595" spans="2:2" x14ac:dyDescent="0.2">
      <c r="B1595" s="396">
        <v>1595</v>
      </c>
    </row>
    <row r="1596" spans="2:2" x14ac:dyDescent="0.2">
      <c r="B1596" s="396">
        <v>1596</v>
      </c>
    </row>
    <row r="1597" spans="2:2" x14ac:dyDescent="0.2">
      <c r="B1597" s="396">
        <v>1597</v>
      </c>
    </row>
    <row r="1598" spans="2:2" x14ac:dyDescent="0.2">
      <c r="B1598" s="396">
        <v>1598</v>
      </c>
    </row>
    <row r="1599" spans="2:2" x14ac:dyDescent="0.2">
      <c r="B1599" s="396">
        <v>1599</v>
      </c>
    </row>
    <row r="1600" spans="2:2" x14ac:dyDescent="0.2">
      <c r="B1600" s="396">
        <v>1600</v>
      </c>
    </row>
    <row r="1601" spans="2:2" x14ac:dyDescent="0.2">
      <c r="B1601" s="396">
        <v>1601</v>
      </c>
    </row>
    <row r="1602" spans="2:2" x14ac:dyDescent="0.2">
      <c r="B1602" s="396">
        <v>1602</v>
      </c>
    </row>
    <row r="1603" spans="2:2" x14ac:dyDescent="0.2">
      <c r="B1603" s="396">
        <v>1603</v>
      </c>
    </row>
    <row r="1604" spans="2:2" x14ac:dyDescent="0.2">
      <c r="B1604" s="396">
        <v>1604</v>
      </c>
    </row>
    <row r="1605" spans="2:2" x14ac:dyDescent="0.2">
      <c r="B1605" s="396">
        <v>1605</v>
      </c>
    </row>
    <row r="1606" spans="2:2" x14ac:dyDescent="0.2">
      <c r="B1606" s="396">
        <v>1606</v>
      </c>
    </row>
    <row r="1607" spans="2:2" x14ac:dyDescent="0.2">
      <c r="B1607" s="396">
        <v>1607</v>
      </c>
    </row>
    <row r="1608" spans="2:2" x14ac:dyDescent="0.2">
      <c r="B1608" s="396">
        <v>1608</v>
      </c>
    </row>
    <row r="1609" spans="2:2" x14ac:dyDescent="0.2">
      <c r="B1609" s="396">
        <v>1609</v>
      </c>
    </row>
    <row r="1610" spans="2:2" x14ac:dyDescent="0.2">
      <c r="B1610" s="396">
        <v>1610</v>
      </c>
    </row>
    <row r="1611" spans="2:2" x14ac:dyDescent="0.2">
      <c r="B1611" s="396">
        <v>1611</v>
      </c>
    </row>
    <row r="1612" spans="2:2" x14ac:dyDescent="0.2">
      <c r="B1612" s="396">
        <v>1612</v>
      </c>
    </row>
    <row r="1613" spans="2:2" x14ac:dyDescent="0.2">
      <c r="B1613" s="396">
        <v>1613</v>
      </c>
    </row>
    <row r="1614" spans="2:2" x14ac:dyDescent="0.2">
      <c r="B1614" s="396">
        <v>1614</v>
      </c>
    </row>
    <row r="1615" spans="2:2" x14ac:dyDescent="0.2">
      <c r="B1615" s="396">
        <v>1615</v>
      </c>
    </row>
    <row r="1616" spans="2:2" x14ac:dyDescent="0.2">
      <c r="B1616" s="396">
        <v>1616</v>
      </c>
    </row>
    <row r="1617" spans="2:2" x14ac:dyDescent="0.2">
      <c r="B1617" s="396">
        <v>1617</v>
      </c>
    </row>
    <row r="1618" spans="2:2" x14ac:dyDescent="0.2">
      <c r="B1618" s="396">
        <v>1618</v>
      </c>
    </row>
    <row r="1619" spans="2:2" x14ac:dyDescent="0.2">
      <c r="B1619" s="396">
        <v>1619</v>
      </c>
    </row>
    <row r="1620" spans="2:2" x14ac:dyDescent="0.2">
      <c r="B1620" s="396">
        <v>1620</v>
      </c>
    </row>
    <row r="1621" spans="2:2" x14ac:dyDescent="0.2">
      <c r="B1621" s="396">
        <v>1621</v>
      </c>
    </row>
    <row r="1622" spans="2:2" x14ac:dyDescent="0.2">
      <c r="B1622" s="396">
        <v>1622</v>
      </c>
    </row>
    <row r="1623" spans="2:2" x14ac:dyDescent="0.2">
      <c r="B1623" s="396">
        <v>1623</v>
      </c>
    </row>
    <row r="1624" spans="2:2" x14ac:dyDescent="0.2">
      <c r="B1624" s="396">
        <v>1624</v>
      </c>
    </row>
    <row r="1625" spans="2:2" x14ac:dyDescent="0.2">
      <c r="B1625" s="396">
        <v>1625</v>
      </c>
    </row>
    <row r="1626" spans="2:2" x14ac:dyDescent="0.2">
      <c r="B1626" s="396">
        <v>1626</v>
      </c>
    </row>
    <row r="1627" spans="2:2" x14ac:dyDescent="0.2">
      <c r="B1627" s="396">
        <v>1627</v>
      </c>
    </row>
    <row r="1628" spans="2:2" x14ac:dyDescent="0.2">
      <c r="B1628" s="396">
        <v>1628</v>
      </c>
    </row>
    <row r="1629" spans="2:2" x14ac:dyDescent="0.2">
      <c r="B1629" s="396">
        <v>1629</v>
      </c>
    </row>
    <row r="1630" spans="2:2" x14ac:dyDescent="0.2">
      <c r="B1630" s="396">
        <v>1630</v>
      </c>
    </row>
    <row r="1631" spans="2:2" x14ac:dyDescent="0.2">
      <c r="B1631" s="396">
        <v>1631</v>
      </c>
    </row>
    <row r="1632" spans="2:2" x14ac:dyDescent="0.2">
      <c r="B1632" s="396">
        <v>1632</v>
      </c>
    </row>
    <row r="1633" spans="2:2" x14ac:dyDescent="0.2">
      <c r="B1633" s="396">
        <v>1633</v>
      </c>
    </row>
    <row r="1634" spans="2:2" x14ac:dyDescent="0.2">
      <c r="B1634" s="396">
        <v>1634</v>
      </c>
    </row>
    <row r="1635" spans="2:2" x14ac:dyDescent="0.2">
      <c r="B1635" s="396">
        <v>1635</v>
      </c>
    </row>
    <row r="1636" spans="2:2" x14ac:dyDescent="0.2">
      <c r="B1636" s="396">
        <v>1636</v>
      </c>
    </row>
    <row r="1637" spans="2:2" x14ac:dyDescent="0.2">
      <c r="B1637" s="396">
        <v>1637</v>
      </c>
    </row>
    <row r="1638" spans="2:2" x14ac:dyDescent="0.2">
      <c r="B1638" s="396">
        <v>1638</v>
      </c>
    </row>
    <row r="1639" spans="2:2" x14ac:dyDescent="0.2">
      <c r="B1639" s="396">
        <v>1639</v>
      </c>
    </row>
    <row r="1640" spans="2:2" x14ac:dyDescent="0.2">
      <c r="B1640" s="396">
        <v>1640</v>
      </c>
    </row>
    <row r="1641" spans="2:2" x14ac:dyDescent="0.2">
      <c r="B1641" s="396">
        <v>1641</v>
      </c>
    </row>
    <row r="1642" spans="2:2" x14ac:dyDescent="0.2">
      <c r="B1642" s="396">
        <v>1642</v>
      </c>
    </row>
    <row r="1643" spans="2:2" x14ac:dyDescent="0.2">
      <c r="B1643" s="396">
        <v>1643</v>
      </c>
    </row>
    <row r="1644" spans="2:2" x14ac:dyDescent="0.2">
      <c r="B1644" s="396">
        <v>1644</v>
      </c>
    </row>
    <row r="1645" spans="2:2" x14ac:dyDescent="0.2">
      <c r="B1645" s="396">
        <v>1645</v>
      </c>
    </row>
    <row r="1646" spans="2:2" x14ac:dyDescent="0.2">
      <c r="B1646" s="396">
        <v>1646</v>
      </c>
    </row>
    <row r="1647" spans="2:2" x14ac:dyDescent="0.2">
      <c r="B1647" s="396">
        <v>1647</v>
      </c>
    </row>
    <row r="1648" spans="2:2" x14ac:dyDescent="0.2">
      <c r="B1648" s="396">
        <v>1648</v>
      </c>
    </row>
    <row r="1649" spans="2:2" x14ac:dyDescent="0.2">
      <c r="B1649" s="396">
        <v>1649</v>
      </c>
    </row>
    <row r="1650" spans="2:2" x14ac:dyDescent="0.2">
      <c r="B1650" s="396">
        <v>1650</v>
      </c>
    </row>
    <row r="1651" spans="2:2" x14ac:dyDescent="0.2">
      <c r="B1651" s="396">
        <v>1651</v>
      </c>
    </row>
    <row r="1652" spans="2:2" x14ac:dyDescent="0.2">
      <c r="B1652" s="396">
        <v>1652</v>
      </c>
    </row>
    <row r="1653" spans="2:2" x14ac:dyDescent="0.2">
      <c r="B1653" s="396">
        <v>1653</v>
      </c>
    </row>
    <row r="1654" spans="2:2" x14ac:dyDescent="0.2">
      <c r="B1654" s="396">
        <v>1654</v>
      </c>
    </row>
    <row r="1655" spans="2:2" x14ac:dyDescent="0.2">
      <c r="B1655" s="396">
        <v>1655</v>
      </c>
    </row>
    <row r="1656" spans="2:2" x14ac:dyDescent="0.2">
      <c r="B1656" s="396">
        <v>1656</v>
      </c>
    </row>
    <row r="1657" spans="2:2" x14ac:dyDescent="0.2">
      <c r="B1657" s="396">
        <v>1657</v>
      </c>
    </row>
    <row r="1658" spans="2:2" x14ac:dyDescent="0.2">
      <c r="B1658" s="396">
        <v>1658</v>
      </c>
    </row>
    <row r="1659" spans="2:2" x14ac:dyDescent="0.2">
      <c r="B1659" s="396">
        <v>1659</v>
      </c>
    </row>
    <row r="1660" spans="2:2" x14ac:dyDescent="0.2">
      <c r="B1660" s="396">
        <v>1660</v>
      </c>
    </row>
    <row r="1661" spans="2:2" x14ac:dyDescent="0.2">
      <c r="B1661" s="396">
        <v>1661</v>
      </c>
    </row>
    <row r="1662" spans="2:2" x14ac:dyDescent="0.2">
      <c r="B1662" s="396">
        <v>1662</v>
      </c>
    </row>
    <row r="1663" spans="2:2" x14ac:dyDescent="0.2">
      <c r="B1663" s="396">
        <v>1663</v>
      </c>
    </row>
    <row r="1664" spans="2:2" x14ac:dyDescent="0.2">
      <c r="B1664" s="396">
        <v>1664</v>
      </c>
    </row>
    <row r="1665" spans="2:2" x14ac:dyDescent="0.2">
      <c r="B1665" s="396">
        <v>1665</v>
      </c>
    </row>
    <row r="1666" spans="2:2" x14ac:dyDescent="0.2">
      <c r="B1666" s="396">
        <v>1666</v>
      </c>
    </row>
    <row r="1667" spans="2:2" x14ac:dyDescent="0.2">
      <c r="B1667" s="396">
        <v>1667</v>
      </c>
    </row>
    <row r="1668" spans="2:2" x14ac:dyDescent="0.2">
      <c r="B1668" s="396">
        <v>1668</v>
      </c>
    </row>
    <row r="1669" spans="2:2" x14ac:dyDescent="0.2">
      <c r="B1669" s="396">
        <v>1669</v>
      </c>
    </row>
    <row r="1670" spans="2:2" x14ac:dyDescent="0.2">
      <c r="B1670" s="396">
        <v>1670</v>
      </c>
    </row>
    <row r="1671" spans="2:2" x14ac:dyDescent="0.2">
      <c r="B1671" s="396">
        <v>1671</v>
      </c>
    </row>
    <row r="1672" spans="2:2" x14ac:dyDescent="0.2">
      <c r="B1672" s="396">
        <v>1672</v>
      </c>
    </row>
    <row r="1673" spans="2:2" x14ac:dyDescent="0.2">
      <c r="B1673" s="396">
        <v>1673</v>
      </c>
    </row>
    <row r="1674" spans="2:2" x14ac:dyDescent="0.2">
      <c r="B1674" s="396">
        <v>1674</v>
      </c>
    </row>
    <row r="1675" spans="2:2" x14ac:dyDescent="0.2">
      <c r="B1675" s="396">
        <v>1675</v>
      </c>
    </row>
    <row r="1676" spans="2:2" x14ac:dyDescent="0.2">
      <c r="B1676" s="396">
        <v>1676</v>
      </c>
    </row>
    <row r="1677" spans="2:2" x14ac:dyDescent="0.2">
      <c r="B1677" s="396">
        <v>1677</v>
      </c>
    </row>
    <row r="1678" spans="2:2" x14ac:dyDescent="0.2">
      <c r="B1678" s="396">
        <v>1678</v>
      </c>
    </row>
    <row r="1679" spans="2:2" x14ac:dyDescent="0.2">
      <c r="B1679" s="396">
        <v>1679</v>
      </c>
    </row>
    <row r="1680" spans="2:2" x14ac:dyDescent="0.2">
      <c r="B1680" s="396">
        <v>1680</v>
      </c>
    </row>
    <row r="1681" spans="2:2" x14ac:dyDescent="0.2">
      <c r="B1681" s="396">
        <v>1681</v>
      </c>
    </row>
    <row r="1682" spans="2:2" x14ac:dyDescent="0.2">
      <c r="B1682" s="396">
        <v>1682</v>
      </c>
    </row>
    <row r="1683" spans="2:2" x14ac:dyDescent="0.2">
      <c r="B1683" s="396">
        <v>1683</v>
      </c>
    </row>
    <row r="1684" spans="2:2" x14ac:dyDescent="0.2">
      <c r="B1684" s="396">
        <v>1684</v>
      </c>
    </row>
    <row r="1685" spans="2:2" x14ac:dyDescent="0.2">
      <c r="B1685" s="396">
        <v>1685</v>
      </c>
    </row>
    <row r="1686" spans="2:2" x14ac:dyDescent="0.2">
      <c r="B1686" s="396">
        <v>1686</v>
      </c>
    </row>
    <row r="1687" spans="2:2" x14ac:dyDescent="0.2">
      <c r="B1687" s="396">
        <v>1687</v>
      </c>
    </row>
    <row r="1688" spans="2:2" x14ac:dyDescent="0.2">
      <c r="B1688" s="396">
        <v>1688</v>
      </c>
    </row>
    <row r="1689" spans="2:2" x14ac:dyDescent="0.2">
      <c r="B1689" s="396">
        <v>1689</v>
      </c>
    </row>
    <row r="1690" spans="2:2" x14ac:dyDescent="0.2">
      <c r="B1690" s="396">
        <v>1690</v>
      </c>
    </row>
    <row r="1691" spans="2:2" x14ac:dyDescent="0.2">
      <c r="B1691" s="396">
        <v>1691</v>
      </c>
    </row>
    <row r="1692" spans="2:2" x14ac:dyDescent="0.2">
      <c r="B1692" s="396">
        <v>1692</v>
      </c>
    </row>
    <row r="1693" spans="2:2" x14ac:dyDescent="0.2">
      <c r="B1693" s="396">
        <v>1693</v>
      </c>
    </row>
    <row r="1694" spans="2:2" x14ac:dyDescent="0.2">
      <c r="B1694" s="396">
        <v>1694</v>
      </c>
    </row>
    <row r="1695" spans="2:2" x14ac:dyDescent="0.2">
      <c r="B1695" s="396">
        <v>1695</v>
      </c>
    </row>
    <row r="1696" spans="2:2" x14ac:dyDescent="0.2">
      <c r="B1696" s="396">
        <v>1696</v>
      </c>
    </row>
    <row r="1697" spans="2:2" x14ac:dyDescent="0.2">
      <c r="B1697" s="396">
        <v>1697</v>
      </c>
    </row>
    <row r="1698" spans="2:2" x14ac:dyDescent="0.2">
      <c r="B1698" s="396">
        <v>1698</v>
      </c>
    </row>
    <row r="1699" spans="2:2" x14ac:dyDescent="0.2">
      <c r="B1699" s="396">
        <v>1699</v>
      </c>
    </row>
    <row r="1700" spans="2:2" x14ac:dyDescent="0.2">
      <c r="B1700" s="396">
        <v>1700</v>
      </c>
    </row>
    <row r="1701" spans="2:2" x14ac:dyDescent="0.2">
      <c r="B1701" s="396">
        <v>1701</v>
      </c>
    </row>
    <row r="1702" spans="2:2" x14ac:dyDescent="0.2">
      <c r="B1702" s="396">
        <v>1702</v>
      </c>
    </row>
    <row r="1703" spans="2:2" x14ac:dyDescent="0.2">
      <c r="B1703" s="396">
        <v>1703</v>
      </c>
    </row>
    <row r="1704" spans="2:2" x14ac:dyDescent="0.2">
      <c r="B1704" s="396">
        <v>1704</v>
      </c>
    </row>
    <row r="1705" spans="2:2" x14ac:dyDescent="0.2">
      <c r="B1705" s="396">
        <v>1705</v>
      </c>
    </row>
    <row r="1706" spans="2:2" x14ac:dyDescent="0.2">
      <c r="B1706" s="396">
        <v>1706</v>
      </c>
    </row>
    <row r="1707" spans="2:2" x14ac:dyDescent="0.2">
      <c r="B1707" s="396">
        <v>1707</v>
      </c>
    </row>
    <row r="1708" spans="2:2" x14ac:dyDescent="0.2">
      <c r="B1708" s="396">
        <v>1708</v>
      </c>
    </row>
    <row r="1709" spans="2:2" x14ac:dyDescent="0.2">
      <c r="B1709" s="396">
        <v>1709</v>
      </c>
    </row>
    <row r="1710" spans="2:2" x14ac:dyDescent="0.2">
      <c r="B1710" s="396">
        <v>1710</v>
      </c>
    </row>
    <row r="1711" spans="2:2" x14ac:dyDescent="0.2">
      <c r="B1711" s="396">
        <v>1711</v>
      </c>
    </row>
    <row r="1712" spans="2:2" x14ac:dyDescent="0.2">
      <c r="B1712" s="396">
        <v>1712</v>
      </c>
    </row>
    <row r="1713" spans="2:2" x14ac:dyDescent="0.2">
      <c r="B1713" s="396">
        <v>1713</v>
      </c>
    </row>
    <row r="1714" spans="2:2" x14ac:dyDescent="0.2">
      <c r="B1714" s="396">
        <v>1714</v>
      </c>
    </row>
    <row r="1715" spans="2:2" x14ac:dyDescent="0.2">
      <c r="B1715" s="396">
        <v>1715</v>
      </c>
    </row>
    <row r="1716" spans="2:2" x14ac:dyDescent="0.2">
      <c r="B1716" s="396">
        <v>1716</v>
      </c>
    </row>
    <row r="1717" spans="2:2" x14ac:dyDescent="0.2">
      <c r="B1717" s="396">
        <v>1717</v>
      </c>
    </row>
    <row r="1718" spans="2:2" x14ac:dyDescent="0.2">
      <c r="B1718" s="396">
        <v>1718</v>
      </c>
    </row>
    <row r="1719" spans="2:2" x14ac:dyDescent="0.2">
      <c r="B1719" s="396">
        <v>1719</v>
      </c>
    </row>
    <row r="1720" spans="2:2" x14ac:dyDescent="0.2">
      <c r="B1720" s="396">
        <v>1720</v>
      </c>
    </row>
    <row r="1721" spans="2:2" x14ac:dyDescent="0.2">
      <c r="B1721" s="396">
        <v>1721</v>
      </c>
    </row>
    <row r="1722" spans="2:2" x14ac:dyDescent="0.2">
      <c r="B1722" s="396">
        <v>1722</v>
      </c>
    </row>
    <row r="1723" spans="2:2" x14ac:dyDescent="0.2">
      <c r="B1723" s="396">
        <v>1723</v>
      </c>
    </row>
    <row r="1724" spans="2:2" x14ac:dyDescent="0.2">
      <c r="B1724" s="396">
        <v>1724</v>
      </c>
    </row>
    <row r="1725" spans="2:2" x14ac:dyDescent="0.2">
      <c r="B1725" s="396">
        <v>1725</v>
      </c>
    </row>
    <row r="1726" spans="2:2" x14ac:dyDescent="0.2">
      <c r="B1726" s="396">
        <v>1726</v>
      </c>
    </row>
    <row r="1727" spans="2:2" x14ac:dyDescent="0.2">
      <c r="B1727" s="396">
        <v>1727</v>
      </c>
    </row>
    <row r="1728" spans="2:2" x14ac:dyDescent="0.2">
      <c r="B1728" s="396">
        <v>1728</v>
      </c>
    </row>
    <row r="1729" spans="2:2" x14ac:dyDescent="0.2">
      <c r="B1729" s="396">
        <v>1729</v>
      </c>
    </row>
    <row r="1730" spans="2:2" x14ac:dyDescent="0.2">
      <c r="B1730" s="396">
        <v>1730</v>
      </c>
    </row>
    <row r="1731" spans="2:2" x14ac:dyDescent="0.2">
      <c r="B1731" s="396">
        <v>1731</v>
      </c>
    </row>
    <row r="1732" spans="2:2" x14ac:dyDescent="0.2">
      <c r="B1732" s="396">
        <v>1732</v>
      </c>
    </row>
    <row r="1733" spans="2:2" x14ac:dyDescent="0.2">
      <c r="B1733" s="396">
        <v>1733</v>
      </c>
    </row>
    <row r="1734" spans="2:2" x14ac:dyDescent="0.2">
      <c r="B1734" s="396">
        <v>1734</v>
      </c>
    </row>
    <row r="1735" spans="2:2" x14ac:dyDescent="0.2">
      <c r="B1735" s="396">
        <v>1735</v>
      </c>
    </row>
    <row r="1736" spans="2:2" x14ac:dyDescent="0.2">
      <c r="B1736" s="396">
        <v>1736</v>
      </c>
    </row>
    <row r="1737" spans="2:2" x14ac:dyDescent="0.2">
      <c r="B1737" s="396">
        <v>1737</v>
      </c>
    </row>
    <row r="1738" spans="2:2" x14ac:dyDescent="0.2">
      <c r="B1738" s="396">
        <v>1738</v>
      </c>
    </row>
    <row r="1739" spans="2:2" x14ac:dyDescent="0.2">
      <c r="B1739" s="396">
        <v>1739</v>
      </c>
    </row>
    <row r="1740" spans="2:2" x14ac:dyDescent="0.2">
      <c r="B1740" s="396">
        <v>1740</v>
      </c>
    </row>
    <row r="1741" spans="2:2" x14ac:dyDescent="0.2">
      <c r="B1741" s="396">
        <v>1741</v>
      </c>
    </row>
    <row r="1742" spans="2:2" x14ac:dyDescent="0.2">
      <c r="B1742" s="396">
        <v>1742</v>
      </c>
    </row>
    <row r="1743" spans="2:2" x14ac:dyDescent="0.2">
      <c r="B1743" s="396">
        <v>1743</v>
      </c>
    </row>
    <row r="1744" spans="2:2" x14ac:dyDescent="0.2">
      <c r="B1744" s="396">
        <v>1744</v>
      </c>
    </row>
    <row r="1745" spans="2:2" x14ac:dyDescent="0.2">
      <c r="B1745" s="396">
        <v>1745</v>
      </c>
    </row>
    <row r="1746" spans="2:2" x14ac:dyDescent="0.2">
      <c r="B1746" s="396">
        <v>1746</v>
      </c>
    </row>
    <row r="1747" spans="2:2" x14ac:dyDescent="0.2">
      <c r="B1747" s="396">
        <v>1747</v>
      </c>
    </row>
    <row r="1748" spans="2:2" x14ac:dyDescent="0.2">
      <c r="B1748" s="396">
        <v>1748</v>
      </c>
    </row>
    <row r="1749" spans="2:2" x14ac:dyDescent="0.2">
      <c r="B1749" s="396">
        <v>1749</v>
      </c>
    </row>
    <row r="1750" spans="2:2" x14ac:dyDescent="0.2">
      <c r="B1750" s="396">
        <v>1750</v>
      </c>
    </row>
    <row r="1751" spans="2:2" x14ac:dyDescent="0.2">
      <c r="B1751" s="396">
        <v>1751</v>
      </c>
    </row>
    <row r="1752" spans="2:2" x14ac:dyDescent="0.2">
      <c r="B1752" s="396">
        <v>1752</v>
      </c>
    </row>
    <row r="1753" spans="2:2" x14ac:dyDescent="0.2">
      <c r="B1753" s="396">
        <v>1753</v>
      </c>
    </row>
    <row r="1754" spans="2:2" x14ac:dyDescent="0.2">
      <c r="B1754" s="396">
        <v>1754</v>
      </c>
    </row>
    <row r="1755" spans="2:2" x14ac:dyDescent="0.2">
      <c r="B1755" s="396">
        <v>1755</v>
      </c>
    </row>
    <row r="1756" spans="2:2" x14ac:dyDescent="0.2">
      <c r="B1756" s="396">
        <v>1756</v>
      </c>
    </row>
    <row r="1757" spans="2:2" x14ac:dyDescent="0.2">
      <c r="B1757" s="396">
        <v>1757</v>
      </c>
    </row>
    <row r="1758" spans="2:2" x14ac:dyDescent="0.2">
      <c r="B1758" s="396">
        <v>1758</v>
      </c>
    </row>
    <row r="1759" spans="2:2" x14ac:dyDescent="0.2">
      <c r="B1759" s="396">
        <v>1759</v>
      </c>
    </row>
    <row r="1760" spans="2:2" x14ac:dyDescent="0.2">
      <c r="B1760" s="396">
        <v>1760</v>
      </c>
    </row>
    <row r="1761" spans="2:2" x14ac:dyDescent="0.2">
      <c r="B1761" s="396">
        <v>1761</v>
      </c>
    </row>
    <row r="1762" spans="2:2" x14ac:dyDescent="0.2">
      <c r="B1762" s="396">
        <v>1762</v>
      </c>
    </row>
    <row r="1763" spans="2:2" x14ac:dyDescent="0.2">
      <c r="B1763" s="396">
        <v>1763</v>
      </c>
    </row>
    <row r="1764" spans="2:2" x14ac:dyDescent="0.2">
      <c r="B1764" s="396">
        <v>1764</v>
      </c>
    </row>
    <row r="1765" spans="2:2" x14ac:dyDescent="0.2">
      <c r="B1765" s="396">
        <v>1765</v>
      </c>
    </row>
    <row r="1766" spans="2:2" x14ac:dyDescent="0.2">
      <c r="B1766" s="396">
        <v>1766</v>
      </c>
    </row>
    <row r="1767" spans="2:2" x14ac:dyDescent="0.2">
      <c r="B1767" s="396">
        <v>1767</v>
      </c>
    </row>
    <row r="1768" spans="2:2" x14ac:dyDescent="0.2">
      <c r="B1768" s="396">
        <v>1768</v>
      </c>
    </row>
    <row r="1769" spans="2:2" x14ac:dyDescent="0.2">
      <c r="B1769" s="396">
        <v>1769</v>
      </c>
    </row>
    <row r="1770" spans="2:2" x14ac:dyDescent="0.2">
      <c r="B1770" s="396">
        <v>1770</v>
      </c>
    </row>
    <row r="1771" spans="2:2" x14ac:dyDescent="0.2">
      <c r="B1771" s="396">
        <v>1771</v>
      </c>
    </row>
    <row r="1772" spans="2:2" x14ac:dyDescent="0.2">
      <c r="B1772" s="396">
        <v>1772</v>
      </c>
    </row>
    <row r="1773" spans="2:2" x14ac:dyDescent="0.2">
      <c r="B1773" s="396">
        <v>1773</v>
      </c>
    </row>
    <row r="1774" spans="2:2" x14ac:dyDescent="0.2">
      <c r="B1774" s="396">
        <v>1774</v>
      </c>
    </row>
    <row r="1775" spans="2:2" x14ac:dyDescent="0.2">
      <c r="B1775" s="396">
        <v>1775</v>
      </c>
    </row>
    <row r="1776" spans="2:2" x14ac:dyDescent="0.2">
      <c r="B1776" s="396">
        <v>1776</v>
      </c>
    </row>
    <row r="1777" spans="2:2" x14ac:dyDescent="0.2">
      <c r="B1777" s="396">
        <v>1777</v>
      </c>
    </row>
    <row r="1778" spans="2:2" x14ac:dyDescent="0.2">
      <c r="B1778" s="396">
        <v>1778</v>
      </c>
    </row>
    <row r="1779" spans="2:2" x14ac:dyDescent="0.2">
      <c r="B1779" s="396">
        <v>1779</v>
      </c>
    </row>
    <row r="1780" spans="2:2" x14ac:dyDescent="0.2">
      <c r="B1780" s="396">
        <v>1780</v>
      </c>
    </row>
    <row r="1781" spans="2:2" x14ac:dyDescent="0.2">
      <c r="B1781" s="396">
        <v>1781</v>
      </c>
    </row>
    <row r="1782" spans="2:2" x14ac:dyDescent="0.2">
      <c r="B1782" s="396">
        <v>1782</v>
      </c>
    </row>
    <row r="1783" spans="2:2" x14ac:dyDescent="0.2">
      <c r="B1783" s="396">
        <v>1783</v>
      </c>
    </row>
    <row r="1784" spans="2:2" x14ac:dyDescent="0.2">
      <c r="B1784" s="396">
        <v>1784</v>
      </c>
    </row>
    <row r="1785" spans="2:2" x14ac:dyDescent="0.2">
      <c r="B1785" s="396">
        <v>1785</v>
      </c>
    </row>
    <row r="1786" spans="2:2" x14ac:dyDescent="0.2">
      <c r="B1786" s="396">
        <v>1786</v>
      </c>
    </row>
    <row r="1787" spans="2:2" x14ac:dyDescent="0.2">
      <c r="B1787" s="396">
        <v>1787</v>
      </c>
    </row>
    <row r="1788" spans="2:2" x14ac:dyDescent="0.2">
      <c r="B1788" s="396">
        <v>1788</v>
      </c>
    </row>
    <row r="1789" spans="2:2" x14ac:dyDescent="0.2">
      <c r="B1789" s="396">
        <v>1789</v>
      </c>
    </row>
    <row r="1790" spans="2:2" x14ac:dyDescent="0.2">
      <c r="B1790" s="396">
        <v>1790</v>
      </c>
    </row>
    <row r="1791" spans="2:2" x14ac:dyDescent="0.2">
      <c r="B1791" s="396">
        <v>1791</v>
      </c>
    </row>
    <row r="1792" spans="2:2" x14ac:dyDescent="0.2">
      <c r="B1792" s="396">
        <v>1792</v>
      </c>
    </row>
    <row r="1793" spans="2:2" x14ac:dyDescent="0.2">
      <c r="B1793" s="396">
        <v>1793</v>
      </c>
    </row>
    <row r="1794" spans="2:2" x14ac:dyDescent="0.2">
      <c r="B1794" s="396">
        <v>1794</v>
      </c>
    </row>
    <row r="1795" spans="2:2" x14ac:dyDescent="0.2">
      <c r="B1795" s="396">
        <v>1795</v>
      </c>
    </row>
    <row r="1796" spans="2:2" x14ac:dyDescent="0.2">
      <c r="B1796" s="396">
        <v>1796</v>
      </c>
    </row>
    <row r="1797" spans="2:2" x14ac:dyDescent="0.2">
      <c r="B1797" s="396">
        <v>1797</v>
      </c>
    </row>
    <row r="1798" spans="2:2" x14ac:dyDescent="0.2">
      <c r="B1798" s="396">
        <v>1798</v>
      </c>
    </row>
    <row r="1799" spans="2:2" x14ac:dyDescent="0.2">
      <c r="B1799" s="396">
        <v>1799</v>
      </c>
    </row>
    <row r="1800" spans="2:2" x14ac:dyDescent="0.2">
      <c r="B1800" s="396">
        <v>1800</v>
      </c>
    </row>
    <row r="1801" spans="2:2" x14ac:dyDescent="0.2">
      <c r="B1801" s="396">
        <v>1801</v>
      </c>
    </row>
    <row r="1802" spans="2:2" x14ac:dyDescent="0.2">
      <c r="B1802" s="396">
        <v>1802</v>
      </c>
    </row>
    <row r="1803" spans="2:2" x14ac:dyDescent="0.2">
      <c r="B1803" s="396">
        <v>1803</v>
      </c>
    </row>
    <row r="1804" spans="2:2" x14ac:dyDescent="0.2">
      <c r="B1804" s="396">
        <v>1804</v>
      </c>
    </row>
    <row r="1805" spans="2:2" x14ac:dyDescent="0.2">
      <c r="B1805" s="396">
        <v>1805</v>
      </c>
    </row>
    <row r="1806" spans="2:2" x14ac:dyDescent="0.2">
      <c r="B1806" s="396">
        <v>1806</v>
      </c>
    </row>
    <row r="1807" spans="2:2" x14ac:dyDescent="0.2">
      <c r="B1807" s="396">
        <v>1807</v>
      </c>
    </row>
    <row r="1808" spans="2:2" x14ac:dyDescent="0.2">
      <c r="B1808" s="396">
        <v>1808</v>
      </c>
    </row>
    <row r="1809" spans="2:2" x14ac:dyDescent="0.2">
      <c r="B1809" s="396">
        <v>1809</v>
      </c>
    </row>
    <row r="1810" spans="2:2" x14ac:dyDescent="0.2">
      <c r="B1810" s="396">
        <v>1810</v>
      </c>
    </row>
    <row r="1811" spans="2:2" x14ac:dyDescent="0.2">
      <c r="B1811" s="396">
        <v>1811</v>
      </c>
    </row>
    <row r="1812" spans="2:2" x14ac:dyDescent="0.2">
      <c r="B1812" s="396">
        <v>1812</v>
      </c>
    </row>
    <row r="1813" spans="2:2" x14ac:dyDescent="0.2">
      <c r="B1813" s="396">
        <v>1813</v>
      </c>
    </row>
    <row r="1814" spans="2:2" x14ac:dyDescent="0.2">
      <c r="B1814" s="396">
        <v>1814</v>
      </c>
    </row>
    <row r="1815" spans="2:2" x14ac:dyDescent="0.2">
      <c r="B1815" s="396">
        <v>1815</v>
      </c>
    </row>
    <row r="1816" spans="2:2" x14ac:dyDescent="0.2">
      <c r="B1816" s="396">
        <v>1816</v>
      </c>
    </row>
    <row r="1817" spans="2:2" x14ac:dyDescent="0.2">
      <c r="B1817" s="396">
        <v>1817</v>
      </c>
    </row>
    <row r="1818" spans="2:2" x14ac:dyDescent="0.2">
      <c r="B1818" s="396">
        <v>1818</v>
      </c>
    </row>
    <row r="1819" spans="2:2" x14ac:dyDescent="0.2">
      <c r="B1819" s="396">
        <v>1819</v>
      </c>
    </row>
    <row r="1820" spans="2:2" x14ac:dyDescent="0.2">
      <c r="B1820" s="396">
        <v>1820</v>
      </c>
    </row>
    <row r="1821" spans="2:2" x14ac:dyDescent="0.2">
      <c r="B1821" s="396">
        <v>1821</v>
      </c>
    </row>
    <row r="1822" spans="2:2" x14ac:dyDescent="0.2">
      <c r="B1822" s="396">
        <v>1822</v>
      </c>
    </row>
    <row r="1823" spans="2:2" x14ac:dyDescent="0.2">
      <c r="B1823" s="396">
        <v>1823</v>
      </c>
    </row>
    <row r="1824" spans="2:2" x14ac:dyDescent="0.2">
      <c r="B1824" s="396">
        <v>1824</v>
      </c>
    </row>
    <row r="1825" spans="2:2" x14ac:dyDescent="0.2">
      <c r="B1825" s="396">
        <v>1825</v>
      </c>
    </row>
    <row r="1826" spans="2:2" x14ac:dyDescent="0.2">
      <c r="B1826" s="396">
        <v>1826</v>
      </c>
    </row>
    <row r="1827" spans="2:2" x14ac:dyDescent="0.2">
      <c r="B1827" s="396">
        <v>1827</v>
      </c>
    </row>
    <row r="1828" spans="2:2" x14ac:dyDescent="0.2">
      <c r="B1828" s="396">
        <v>1828</v>
      </c>
    </row>
    <row r="1829" spans="2:2" x14ac:dyDescent="0.2">
      <c r="B1829" s="396">
        <v>1829</v>
      </c>
    </row>
    <row r="1830" spans="2:2" x14ac:dyDescent="0.2">
      <c r="B1830" s="396">
        <v>1830</v>
      </c>
    </row>
    <row r="1831" spans="2:2" x14ac:dyDescent="0.2">
      <c r="B1831" s="396">
        <v>1831</v>
      </c>
    </row>
    <row r="1832" spans="2:2" x14ac:dyDescent="0.2">
      <c r="B1832" s="396">
        <v>1832</v>
      </c>
    </row>
    <row r="1833" spans="2:2" x14ac:dyDescent="0.2">
      <c r="B1833" s="396">
        <v>1833</v>
      </c>
    </row>
    <row r="1834" spans="2:2" x14ac:dyDescent="0.2">
      <c r="B1834" s="396">
        <v>1834</v>
      </c>
    </row>
    <row r="1835" spans="2:2" x14ac:dyDescent="0.2">
      <c r="B1835" s="396">
        <v>1835</v>
      </c>
    </row>
    <row r="1836" spans="2:2" x14ac:dyDescent="0.2">
      <c r="B1836" s="396">
        <v>1836</v>
      </c>
    </row>
    <row r="1837" spans="2:2" x14ac:dyDescent="0.2">
      <c r="B1837" s="396">
        <v>1837</v>
      </c>
    </row>
    <row r="1838" spans="2:2" x14ac:dyDescent="0.2">
      <c r="B1838" s="396">
        <v>1838</v>
      </c>
    </row>
    <row r="1839" spans="2:2" x14ac:dyDescent="0.2">
      <c r="B1839" s="396">
        <v>1839</v>
      </c>
    </row>
    <row r="1840" spans="2:2" x14ac:dyDescent="0.2">
      <c r="B1840" s="396">
        <v>1840</v>
      </c>
    </row>
    <row r="1841" spans="2:2" x14ac:dyDescent="0.2">
      <c r="B1841" s="396">
        <v>1841</v>
      </c>
    </row>
    <row r="1842" spans="2:2" x14ac:dyDescent="0.2">
      <c r="B1842" s="396">
        <v>1842</v>
      </c>
    </row>
    <row r="1843" spans="2:2" x14ac:dyDescent="0.2">
      <c r="B1843" s="396">
        <v>1843</v>
      </c>
    </row>
    <row r="1844" spans="2:2" x14ac:dyDescent="0.2">
      <c r="B1844" s="396">
        <v>1844</v>
      </c>
    </row>
    <row r="1845" spans="2:2" x14ac:dyDescent="0.2">
      <c r="B1845" s="396">
        <v>1845</v>
      </c>
    </row>
    <row r="1846" spans="2:2" x14ac:dyDescent="0.2">
      <c r="B1846" s="396">
        <v>1846</v>
      </c>
    </row>
    <row r="1847" spans="2:2" x14ac:dyDescent="0.2">
      <c r="B1847" s="396">
        <v>1847</v>
      </c>
    </row>
    <row r="1848" spans="2:2" x14ac:dyDescent="0.2">
      <c r="B1848" s="396">
        <v>1848</v>
      </c>
    </row>
    <row r="1849" spans="2:2" x14ac:dyDescent="0.2">
      <c r="B1849" s="396">
        <v>1849</v>
      </c>
    </row>
    <row r="1850" spans="2:2" x14ac:dyDescent="0.2">
      <c r="B1850" s="396">
        <v>1850</v>
      </c>
    </row>
    <row r="1851" spans="2:2" x14ac:dyDescent="0.2">
      <c r="B1851" s="396">
        <v>1851</v>
      </c>
    </row>
    <row r="1852" spans="2:2" x14ac:dyDescent="0.2">
      <c r="B1852" s="396">
        <v>1852</v>
      </c>
    </row>
    <row r="1853" spans="2:2" x14ac:dyDescent="0.2">
      <c r="B1853" s="396">
        <v>1853</v>
      </c>
    </row>
    <row r="1854" spans="2:2" x14ac:dyDescent="0.2">
      <c r="B1854" s="396">
        <v>1854</v>
      </c>
    </row>
    <row r="1855" spans="2:2" x14ac:dyDescent="0.2">
      <c r="B1855" s="396">
        <v>1855</v>
      </c>
    </row>
    <row r="1856" spans="2:2" x14ac:dyDescent="0.2">
      <c r="B1856" s="396">
        <v>1856</v>
      </c>
    </row>
    <row r="1857" spans="2:2" x14ac:dyDescent="0.2">
      <c r="B1857" s="396">
        <v>1857</v>
      </c>
    </row>
    <row r="1858" spans="2:2" x14ac:dyDescent="0.2">
      <c r="B1858" s="396">
        <v>1858</v>
      </c>
    </row>
    <row r="1859" spans="2:2" x14ac:dyDescent="0.2">
      <c r="B1859" s="396">
        <v>1859</v>
      </c>
    </row>
    <row r="1860" spans="2:2" x14ac:dyDescent="0.2">
      <c r="B1860" s="396">
        <v>1860</v>
      </c>
    </row>
    <row r="1861" spans="2:2" x14ac:dyDescent="0.2">
      <c r="B1861" s="396">
        <v>1861</v>
      </c>
    </row>
    <row r="1862" spans="2:2" x14ac:dyDescent="0.2">
      <c r="B1862" s="396">
        <v>1862</v>
      </c>
    </row>
    <row r="1863" spans="2:2" x14ac:dyDescent="0.2">
      <c r="B1863" s="396">
        <v>1863</v>
      </c>
    </row>
    <row r="1864" spans="2:2" x14ac:dyDescent="0.2">
      <c r="B1864" s="396">
        <v>1864</v>
      </c>
    </row>
    <row r="1865" spans="2:2" x14ac:dyDescent="0.2">
      <c r="B1865" s="396">
        <v>1865</v>
      </c>
    </row>
    <row r="1866" spans="2:2" x14ac:dyDescent="0.2">
      <c r="B1866" s="396">
        <v>1866</v>
      </c>
    </row>
    <row r="1867" spans="2:2" x14ac:dyDescent="0.2">
      <c r="B1867" s="396">
        <v>1867</v>
      </c>
    </row>
    <row r="1868" spans="2:2" x14ac:dyDescent="0.2">
      <c r="B1868" s="396">
        <v>1868</v>
      </c>
    </row>
    <row r="1869" spans="2:2" x14ac:dyDescent="0.2">
      <c r="B1869" s="396">
        <v>1869</v>
      </c>
    </row>
    <row r="1870" spans="2:2" x14ac:dyDescent="0.2">
      <c r="B1870" s="396">
        <v>1870</v>
      </c>
    </row>
    <row r="1871" spans="2:2" x14ac:dyDescent="0.2">
      <c r="B1871" s="396">
        <v>1871</v>
      </c>
    </row>
    <row r="1872" spans="2:2" x14ac:dyDescent="0.2">
      <c r="B1872" s="396">
        <v>1872</v>
      </c>
    </row>
    <row r="1873" spans="2:2" x14ac:dyDescent="0.2">
      <c r="B1873" s="396">
        <v>1873</v>
      </c>
    </row>
    <row r="1874" spans="2:2" x14ac:dyDescent="0.2">
      <c r="B1874" s="396">
        <v>1874</v>
      </c>
    </row>
    <row r="1875" spans="2:2" x14ac:dyDescent="0.2">
      <c r="B1875" s="396">
        <v>1875</v>
      </c>
    </row>
    <row r="1876" spans="2:2" x14ac:dyDescent="0.2">
      <c r="B1876" s="396">
        <v>1876</v>
      </c>
    </row>
    <row r="1877" spans="2:2" x14ac:dyDescent="0.2">
      <c r="B1877" s="396">
        <v>1877</v>
      </c>
    </row>
    <row r="1878" spans="2:2" x14ac:dyDescent="0.2">
      <c r="B1878" s="396">
        <v>1878</v>
      </c>
    </row>
    <row r="1879" spans="2:2" x14ac:dyDescent="0.2">
      <c r="B1879" s="396">
        <v>1879</v>
      </c>
    </row>
    <row r="1880" spans="2:2" x14ac:dyDescent="0.2">
      <c r="B1880" s="396">
        <v>1880</v>
      </c>
    </row>
    <row r="1881" spans="2:2" x14ac:dyDescent="0.2">
      <c r="B1881" s="396">
        <v>1881</v>
      </c>
    </row>
    <row r="1882" spans="2:2" x14ac:dyDescent="0.2">
      <c r="B1882" s="396">
        <v>1882</v>
      </c>
    </row>
    <row r="1883" spans="2:2" x14ac:dyDescent="0.2">
      <c r="B1883" s="396">
        <v>1883</v>
      </c>
    </row>
    <row r="1884" spans="2:2" x14ac:dyDescent="0.2">
      <c r="B1884" s="396">
        <v>1884</v>
      </c>
    </row>
    <row r="1885" spans="2:2" x14ac:dyDescent="0.2">
      <c r="B1885" s="396">
        <v>1885</v>
      </c>
    </row>
    <row r="1886" spans="2:2" x14ac:dyDescent="0.2">
      <c r="B1886" s="396">
        <v>1886</v>
      </c>
    </row>
    <row r="1887" spans="2:2" x14ac:dyDescent="0.2">
      <c r="B1887" s="396">
        <v>1887</v>
      </c>
    </row>
    <row r="1888" spans="2:2" x14ac:dyDescent="0.2">
      <c r="B1888" s="396">
        <v>1888</v>
      </c>
    </row>
    <row r="1889" spans="2:2" x14ac:dyDescent="0.2">
      <c r="B1889" s="396">
        <v>1889</v>
      </c>
    </row>
    <row r="1890" spans="2:2" x14ac:dyDescent="0.2">
      <c r="B1890" s="396">
        <v>1890</v>
      </c>
    </row>
    <row r="1891" spans="2:2" x14ac:dyDescent="0.2">
      <c r="B1891" s="396">
        <v>1891</v>
      </c>
    </row>
    <row r="1892" spans="2:2" x14ac:dyDescent="0.2">
      <c r="B1892" s="396">
        <v>1892</v>
      </c>
    </row>
    <row r="1893" spans="2:2" x14ac:dyDescent="0.2">
      <c r="B1893" s="396">
        <v>1893</v>
      </c>
    </row>
    <row r="1894" spans="2:2" x14ac:dyDescent="0.2">
      <c r="B1894" s="396">
        <v>1894</v>
      </c>
    </row>
    <row r="1895" spans="2:2" x14ac:dyDescent="0.2">
      <c r="B1895" s="396">
        <v>1895</v>
      </c>
    </row>
    <row r="1896" spans="2:2" x14ac:dyDescent="0.2">
      <c r="B1896" s="396">
        <v>1896</v>
      </c>
    </row>
    <row r="1897" spans="2:2" x14ac:dyDescent="0.2">
      <c r="B1897" s="396">
        <v>1897</v>
      </c>
    </row>
    <row r="1898" spans="2:2" x14ac:dyDescent="0.2">
      <c r="B1898" s="396">
        <v>1898</v>
      </c>
    </row>
    <row r="1899" spans="2:2" x14ac:dyDescent="0.2">
      <c r="B1899" s="396">
        <v>1899</v>
      </c>
    </row>
    <row r="1900" spans="2:2" x14ac:dyDescent="0.2">
      <c r="B1900" s="396">
        <v>1900</v>
      </c>
    </row>
    <row r="1901" spans="2:2" x14ac:dyDescent="0.2">
      <c r="B1901" s="396">
        <v>1901</v>
      </c>
    </row>
    <row r="1902" spans="2:2" x14ac:dyDescent="0.2">
      <c r="B1902" s="396">
        <v>1902</v>
      </c>
    </row>
    <row r="1903" spans="2:2" x14ac:dyDescent="0.2">
      <c r="B1903" s="396">
        <v>1903</v>
      </c>
    </row>
    <row r="1904" spans="2:2" x14ac:dyDescent="0.2">
      <c r="B1904" s="396">
        <v>1904</v>
      </c>
    </row>
    <row r="1905" spans="2:2" x14ac:dyDescent="0.2">
      <c r="B1905" s="396">
        <v>1905</v>
      </c>
    </row>
    <row r="1906" spans="2:2" x14ac:dyDescent="0.2">
      <c r="B1906" s="396">
        <v>1906</v>
      </c>
    </row>
    <row r="1907" spans="2:2" x14ac:dyDescent="0.2">
      <c r="B1907" s="396">
        <v>1907</v>
      </c>
    </row>
    <row r="1908" spans="2:2" x14ac:dyDescent="0.2">
      <c r="B1908" s="396">
        <v>1908</v>
      </c>
    </row>
    <row r="1909" spans="2:2" x14ac:dyDescent="0.2">
      <c r="B1909" s="396">
        <v>1909</v>
      </c>
    </row>
    <row r="1910" spans="2:2" x14ac:dyDescent="0.2">
      <c r="B1910" s="396">
        <v>1910</v>
      </c>
    </row>
    <row r="1911" spans="2:2" x14ac:dyDescent="0.2">
      <c r="B1911" s="396">
        <v>1911</v>
      </c>
    </row>
    <row r="1912" spans="2:2" x14ac:dyDescent="0.2">
      <c r="B1912" s="396">
        <v>1912</v>
      </c>
    </row>
    <row r="1913" spans="2:2" x14ac:dyDescent="0.2">
      <c r="B1913" s="396">
        <v>1913</v>
      </c>
    </row>
    <row r="1914" spans="2:2" x14ac:dyDescent="0.2">
      <c r="B1914" s="396">
        <v>1914</v>
      </c>
    </row>
    <row r="1915" spans="2:2" x14ac:dyDescent="0.2">
      <c r="B1915" s="396">
        <v>1915</v>
      </c>
    </row>
    <row r="1916" spans="2:2" x14ac:dyDescent="0.2">
      <c r="B1916" s="396">
        <v>1916</v>
      </c>
    </row>
    <row r="1917" spans="2:2" x14ac:dyDescent="0.2">
      <c r="B1917" s="396">
        <v>1917</v>
      </c>
    </row>
    <row r="1918" spans="2:2" x14ac:dyDescent="0.2">
      <c r="B1918" s="396">
        <v>1918</v>
      </c>
    </row>
    <row r="1919" spans="2:2" x14ac:dyDescent="0.2">
      <c r="B1919" s="396">
        <v>1919</v>
      </c>
    </row>
    <row r="1920" spans="2:2" x14ac:dyDescent="0.2">
      <c r="B1920" s="396">
        <v>1920</v>
      </c>
    </row>
    <row r="1921" spans="2:2" x14ac:dyDescent="0.2">
      <c r="B1921" s="396">
        <v>1921</v>
      </c>
    </row>
    <row r="1922" spans="2:2" x14ac:dyDescent="0.2">
      <c r="B1922" s="396">
        <v>1922</v>
      </c>
    </row>
    <row r="1923" spans="2:2" x14ac:dyDescent="0.2">
      <c r="B1923" s="396">
        <v>1923</v>
      </c>
    </row>
    <row r="1924" spans="2:2" x14ac:dyDescent="0.2">
      <c r="B1924" s="396">
        <v>1924</v>
      </c>
    </row>
    <row r="1925" spans="2:2" x14ac:dyDescent="0.2">
      <c r="B1925" s="396">
        <v>1925</v>
      </c>
    </row>
    <row r="1926" spans="2:2" x14ac:dyDescent="0.2">
      <c r="B1926" s="396">
        <v>1926</v>
      </c>
    </row>
    <row r="1927" spans="2:2" x14ac:dyDescent="0.2">
      <c r="B1927" s="396">
        <v>1927</v>
      </c>
    </row>
    <row r="1928" spans="2:2" x14ac:dyDescent="0.2">
      <c r="B1928" s="396">
        <v>1928</v>
      </c>
    </row>
    <row r="1929" spans="2:2" x14ac:dyDescent="0.2">
      <c r="B1929" s="396">
        <v>1929</v>
      </c>
    </row>
    <row r="1930" spans="2:2" x14ac:dyDescent="0.2">
      <c r="B1930" s="396">
        <v>1930</v>
      </c>
    </row>
    <row r="1931" spans="2:2" x14ac:dyDescent="0.2">
      <c r="B1931" s="396">
        <v>1931</v>
      </c>
    </row>
    <row r="1932" spans="2:2" x14ac:dyDescent="0.2">
      <c r="B1932" s="396">
        <v>1932</v>
      </c>
    </row>
    <row r="1933" spans="2:2" x14ac:dyDescent="0.2">
      <c r="B1933" s="396">
        <v>1933</v>
      </c>
    </row>
    <row r="1934" spans="2:2" x14ac:dyDescent="0.2">
      <c r="B1934" s="396">
        <v>1934</v>
      </c>
    </row>
    <row r="1935" spans="2:2" x14ac:dyDescent="0.2">
      <c r="B1935" s="396">
        <v>1935</v>
      </c>
    </row>
    <row r="1936" spans="2:2" x14ac:dyDescent="0.2">
      <c r="B1936" s="396">
        <v>1936</v>
      </c>
    </row>
    <row r="1937" spans="2:2" x14ac:dyDescent="0.2">
      <c r="B1937" s="396">
        <v>1937</v>
      </c>
    </row>
    <row r="1938" spans="2:2" x14ac:dyDescent="0.2">
      <c r="B1938" s="396">
        <v>1938</v>
      </c>
    </row>
    <row r="1939" spans="2:2" x14ac:dyDescent="0.2">
      <c r="B1939" s="396">
        <v>1939</v>
      </c>
    </row>
    <row r="1940" spans="2:2" x14ac:dyDescent="0.2">
      <c r="B1940" s="396">
        <v>1940</v>
      </c>
    </row>
    <row r="1941" spans="2:2" x14ac:dyDescent="0.2">
      <c r="B1941" s="396">
        <v>1941</v>
      </c>
    </row>
    <row r="1942" spans="2:2" x14ac:dyDescent="0.2">
      <c r="B1942" s="396">
        <v>1942</v>
      </c>
    </row>
    <row r="1943" spans="2:2" x14ac:dyDescent="0.2">
      <c r="B1943" s="396">
        <v>1943</v>
      </c>
    </row>
    <row r="1944" spans="2:2" x14ac:dyDescent="0.2">
      <c r="B1944" s="396">
        <v>1944</v>
      </c>
    </row>
    <row r="1945" spans="2:2" x14ac:dyDescent="0.2">
      <c r="B1945" s="396">
        <v>1945</v>
      </c>
    </row>
    <row r="1946" spans="2:2" x14ac:dyDescent="0.2">
      <c r="B1946" s="396">
        <v>1946</v>
      </c>
    </row>
    <row r="1947" spans="2:2" x14ac:dyDescent="0.2">
      <c r="B1947" s="396">
        <v>1947</v>
      </c>
    </row>
    <row r="1948" spans="2:2" x14ac:dyDescent="0.2">
      <c r="B1948" s="396">
        <v>1948</v>
      </c>
    </row>
    <row r="1949" spans="2:2" x14ac:dyDescent="0.2">
      <c r="B1949" s="396">
        <v>1949</v>
      </c>
    </row>
    <row r="1950" spans="2:2" x14ac:dyDescent="0.2">
      <c r="B1950" s="396">
        <v>1950</v>
      </c>
    </row>
    <row r="1951" spans="2:2" x14ac:dyDescent="0.2">
      <c r="B1951" s="396">
        <v>1951</v>
      </c>
    </row>
    <row r="1952" spans="2:2" x14ac:dyDescent="0.2">
      <c r="B1952" s="396">
        <v>1952</v>
      </c>
    </row>
    <row r="1953" spans="2:2" x14ac:dyDescent="0.2">
      <c r="B1953" s="396">
        <v>1953</v>
      </c>
    </row>
    <row r="1954" spans="2:2" x14ac:dyDescent="0.2">
      <c r="B1954" s="396">
        <v>1954</v>
      </c>
    </row>
    <row r="1955" spans="2:2" x14ac:dyDescent="0.2">
      <c r="B1955" s="396">
        <v>1955</v>
      </c>
    </row>
    <row r="1956" spans="2:2" x14ac:dyDescent="0.2">
      <c r="B1956" s="396">
        <v>1956</v>
      </c>
    </row>
    <row r="1957" spans="2:2" x14ac:dyDescent="0.2">
      <c r="B1957" s="396">
        <v>1957</v>
      </c>
    </row>
    <row r="1958" spans="2:2" x14ac:dyDescent="0.2">
      <c r="B1958" s="396">
        <v>1958</v>
      </c>
    </row>
    <row r="1959" spans="2:2" x14ac:dyDescent="0.2">
      <c r="B1959" s="396">
        <v>1959</v>
      </c>
    </row>
    <row r="1960" spans="2:2" x14ac:dyDescent="0.2">
      <c r="B1960" s="396">
        <v>1960</v>
      </c>
    </row>
    <row r="1961" spans="2:2" x14ac:dyDescent="0.2">
      <c r="B1961" s="396">
        <v>1961</v>
      </c>
    </row>
    <row r="1962" spans="2:2" x14ac:dyDescent="0.2">
      <c r="B1962" s="396">
        <v>1962</v>
      </c>
    </row>
    <row r="1963" spans="2:2" x14ac:dyDescent="0.2">
      <c r="B1963" s="396">
        <v>1963</v>
      </c>
    </row>
    <row r="1964" spans="2:2" x14ac:dyDescent="0.2">
      <c r="B1964" s="396">
        <v>1964</v>
      </c>
    </row>
    <row r="1965" spans="2:2" x14ac:dyDescent="0.2">
      <c r="B1965" s="396">
        <v>1965</v>
      </c>
    </row>
    <row r="1966" spans="2:2" x14ac:dyDescent="0.2">
      <c r="B1966" s="396">
        <v>1966</v>
      </c>
    </row>
    <row r="1967" spans="2:2" x14ac:dyDescent="0.2">
      <c r="B1967" s="396">
        <v>1967</v>
      </c>
    </row>
    <row r="1968" spans="2:2" x14ac:dyDescent="0.2">
      <c r="B1968" s="396">
        <v>1968</v>
      </c>
    </row>
    <row r="1969" spans="2:2" x14ac:dyDescent="0.2">
      <c r="B1969" s="396">
        <v>1969</v>
      </c>
    </row>
    <row r="1970" spans="2:2" x14ac:dyDescent="0.2">
      <c r="B1970" s="396">
        <v>1970</v>
      </c>
    </row>
    <row r="1971" spans="2:2" x14ac:dyDescent="0.2">
      <c r="B1971" s="396">
        <v>1971</v>
      </c>
    </row>
    <row r="1972" spans="2:2" x14ac:dyDescent="0.2">
      <c r="B1972" s="396">
        <v>1972</v>
      </c>
    </row>
    <row r="1973" spans="2:2" x14ac:dyDescent="0.2">
      <c r="B1973" s="396">
        <v>1973</v>
      </c>
    </row>
    <row r="1974" spans="2:2" x14ac:dyDescent="0.2">
      <c r="B1974" s="396">
        <v>1974</v>
      </c>
    </row>
    <row r="1975" spans="2:2" x14ac:dyDescent="0.2">
      <c r="B1975" s="396">
        <v>1975</v>
      </c>
    </row>
    <row r="1976" spans="2:2" x14ac:dyDescent="0.2">
      <c r="B1976" s="396">
        <v>1976</v>
      </c>
    </row>
    <row r="1977" spans="2:2" x14ac:dyDescent="0.2">
      <c r="B1977" s="396">
        <v>1977</v>
      </c>
    </row>
    <row r="1978" spans="2:2" x14ac:dyDescent="0.2">
      <c r="B1978" s="396">
        <v>1978</v>
      </c>
    </row>
    <row r="1979" spans="2:2" x14ac:dyDescent="0.2">
      <c r="B1979" s="396">
        <v>1979</v>
      </c>
    </row>
    <row r="1980" spans="2:2" x14ac:dyDescent="0.2">
      <c r="B1980" s="396">
        <v>1980</v>
      </c>
    </row>
    <row r="1981" spans="2:2" x14ac:dyDescent="0.2">
      <c r="B1981" s="396">
        <v>1981</v>
      </c>
    </row>
    <row r="1982" spans="2:2" x14ac:dyDescent="0.2">
      <c r="B1982" s="396">
        <v>1982</v>
      </c>
    </row>
    <row r="1983" spans="2:2" x14ac:dyDescent="0.2">
      <c r="B1983" s="396">
        <v>1983</v>
      </c>
    </row>
    <row r="1984" spans="2:2" x14ac:dyDescent="0.2">
      <c r="B1984" s="396">
        <v>1984</v>
      </c>
    </row>
    <row r="1985" spans="2:2" x14ac:dyDescent="0.2">
      <c r="B1985" s="396">
        <v>1985</v>
      </c>
    </row>
    <row r="1986" spans="2:2" x14ac:dyDescent="0.2">
      <c r="B1986" s="396">
        <v>1986</v>
      </c>
    </row>
    <row r="1987" spans="2:2" x14ac:dyDescent="0.2">
      <c r="B1987" s="396">
        <v>1987</v>
      </c>
    </row>
    <row r="1988" spans="2:2" x14ac:dyDescent="0.2">
      <c r="B1988" s="396">
        <v>1988</v>
      </c>
    </row>
    <row r="1989" spans="2:2" x14ac:dyDescent="0.2">
      <c r="B1989" s="396">
        <v>1989</v>
      </c>
    </row>
    <row r="1990" spans="2:2" x14ac:dyDescent="0.2">
      <c r="B1990" s="396">
        <v>1990</v>
      </c>
    </row>
    <row r="1991" spans="2:2" x14ac:dyDescent="0.2">
      <c r="B1991" s="396">
        <v>1991</v>
      </c>
    </row>
    <row r="1992" spans="2:2" x14ac:dyDescent="0.2">
      <c r="B1992" s="396">
        <v>1992</v>
      </c>
    </row>
    <row r="1993" spans="2:2" x14ac:dyDescent="0.2">
      <c r="B1993" s="396">
        <v>1993</v>
      </c>
    </row>
    <row r="1994" spans="2:2" x14ac:dyDescent="0.2">
      <c r="B1994" s="396">
        <v>1994</v>
      </c>
    </row>
    <row r="1995" spans="2:2" x14ac:dyDescent="0.2">
      <c r="B1995" s="396">
        <v>1995</v>
      </c>
    </row>
    <row r="1996" spans="2:2" x14ac:dyDescent="0.2">
      <c r="B1996" s="396">
        <v>1996</v>
      </c>
    </row>
    <row r="1997" spans="2:2" x14ac:dyDescent="0.2">
      <c r="B1997" s="396">
        <v>1997</v>
      </c>
    </row>
    <row r="1998" spans="2:2" x14ac:dyDescent="0.2">
      <c r="B1998" s="396">
        <v>1998</v>
      </c>
    </row>
    <row r="1999" spans="2:2" x14ac:dyDescent="0.2">
      <c r="B1999" s="396">
        <v>1999</v>
      </c>
    </row>
    <row r="2000" spans="2:2" x14ac:dyDescent="0.2">
      <c r="B2000" s="396">
        <v>2000</v>
      </c>
    </row>
    <row r="2001" spans="2:2" x14ac:dyDescent="0.2">
      <c r="B2001" s="396">
        <v>2001</v>
      </c>
    </row>
    <row r="2002" spans="2:2" x14ac:dyDescent="0.2">
      <c r="B2002" s="396">
        <v>2002</v>
      </c>
    </row>
    <row r="2003" spans="2:2" x14ac:dyDescent="0.2">
      <c r="B2003" s="396">
        <v>2003</v>
      </c>
    </row>
    <row r="2004" spans="2:2" x14ac:dyDescent="0.2">
      <c r="B2004" s="396">
        <v>2004</v>
      </c>
    </row>
    <row r="2005" spans="2:2" x14ac:dyDescent="0.2">
      <c r="B2005" s="396">
        <v>2005</v>
      </c>
    </row>
    <row r="2006" spans="2:2" x14ac:dyDescent="0.2">
      <c r="B2006" s="396">
        <v>2006</v>
      </c>
    </row>
    <row r="2007" spans="2:2" x14ac:dyDescent="0.2">
      <c r="B2007" s="396">
        <v>2007</v>
      </c>
    </row>
    <row r="2008" spans="2:2" x14ac:dyDescent="0.2">
      <c r="B2008" s="396">
        <v>2008</v>
      </c>
    </row>
    <row r="2009" spans="2:2" x14ac:dyDescent="0.2">
      <c r="B2009" s="396">
        <v>2009</v>
      </c>
    </row>
    <row r="2010" spans="2:2" x14ac:dyDescent="0.2">
      <c r="B2010" s="396">
        <v>2010</v>
      </c>
    </row>
    <row r="2011" spans="2:2" x14ac:dyDescent="0.2">
      <c r="B2011" s="396">
        <v>2011</v>
      </c>
    </row>
    <row r="2012" spans="2:2" x14ac:dyDescent="0.2">
      <c r="B2012" s="396">
        <v>2012</v>
      </c>
    </row>
    <row r="2013" spans="2:2" x14ac:dyDescent="0.2">
      <c r="B2013" s="396">
        <v>2013</v>
      </c>
    </row>
    <row r="2014" spans="2:2" x14ac:dyDescent="0.2">
      <c r="B2014" s="396">
        <v>2014</v>
      </c>
    </row>
    <row r="2015" spans="2:2" x14ac:dyDescent="0.2">
      <c r="B2015" s="396">
        <v>2015</v>
      </c>
    </row>
    <row r="2016" spans="2:2" x14ac:dyDescent="0.2">
      <c r="B2016" s="396">
        <v>2016</v>
      </c>
    </row>
    <row r="2017" spans="2:2" x14ac:dyDescent="0.2">
      <c r="B2017" s="396">
        <v>2017</v>
      </c>
    </row>
    <row r="2018" spans="2:2" x14ac:dyDescent="0.2">
      <c r="B2018" s="396">
        <v>2018</v>
      </c>
    </row>
    <row r="2019" spans="2:2" x14ac:dyDescent="0.2">
      <c r="B2019" s="396">
        <v>2019</v>
      </c>
    </row>
    <row r="2020" spans="2:2" x14ac:dyDescent="0.2">
      <c r="B2020" s="396">
        <v>2020</v>
      </c>
    </row>
    <row r="2021" spans="2:2" x14ac:dyDescent="0.2">
      <c r="B2021" s="396">
        <v>2021</v>
      </c>
    </row>
    <row r="2022" spans="2:2" x14ac:dyDescent="0.2">
      <c r="B2022" s="396">
        <v>2022</v>
      </c>
    </row>
    <row r="2023" spans="2:2" x14ac:dyDescent="0.2">
      <c r="B2023" s="396">
        <v>2023</v>
      </c>
    </row>
    <row r="2024" spans="2:2" x14ac:dyDescent="0.2">
      <c r="B2024" s="396">
        <v>2024</v>
      </c>
    </row>
    <row r="2025" spans="2:2" x14ac:dyDescent="0.2">
      <c r="B2025" s="396">
        <v>2025</v>
      </c>
    </row>
    <row r="2026" spans="2:2" x14ac:dyDescent="0.2">
      <c r="B2026" s="396">
        <v>2026</v>
      </c>
    </row>
    <row r="2027" spans="2:2" x14ac:dyDescent="0.2">
      <c r="B2027" s="396">
        <v>2027</v>
      </c>
    </row>
    <row r="2028" spans="2:2" x14ac:dyDescent="0.2">
      <c r="B2028" s="396">
        <v>2028</v>
      </c>
    </row>
    <row r="2029" spans="2:2" x14ac:dyDescent="0.2">
      <c r="B2029" s="396">
        <v>2029</v>
      </c>
    </row>
    <row r="2030" spans="2:2" x14ac:dyDescent="0.2">
      <c r="B2030" s="396">
        <v>2030</v>
      </c>
    </row>
    <row r="2031" spans="2:2" x14ac:dyDescent="0.2">
      <c r="B2031" s="396">
        <v>2031</v>
      </c>
    </row>
    <row r="2032" spans="2:2" x14ac:dyDescent="0.2">
      <c r="B2032" s="396">
        <v>2032</v>
      </c>
    </row>
    <row r="2033" spans="2:2" x14ac:dyDescent="0.2">
      <c r="B2033" s="396">
        <v>2033</v>
      </c>
    </row>
    <row r="2034" spans="2:2" x14ac:dyDescent="0.2">
      <c r="B2034" s="396">
        <v>2034</v>
      </c>
    </row>
    <row r="2035" spans="2:2" x14ac:dyDescent="0.2">
      <c r="B2035" s="396">
        <v>2035</v>
      </c>
    </row>
    <row r="2036" spans="2:2" x14ac:dyDescent="0.2">
      <c r="B2036" s="396">
        <v>2036</v>
      </c>
    </row>
    <row r="2037" spans="2:2" x14ac:dyDescent="0.2">
      <c r="B2037" s="396">
        <v>2037</v>
      </c>
    </row>
    <row r="2038" spans="2:2" x14ac:dyDescent="0.2">
      <c r="B2038" s="396">
        <v>2038</v>
      </c>
    </row>
    <row r="2039" spans="2:2" x14ac:dyDescent="0.2">
      <c r="B2039" s="396">
        <v>2039</v>
      </c>
    </row>
    <row r="2040" spans="2:2" x14ac:dyDescent="0.2">
      <c r="B2040" s="396">
        <v>2040</v>
      </c>
    </row>
    <row r="2041" spans="2:2" x14ac:dyDescent="0.2">
      <c r="B2041" s="396">
        <v>2041</v>
      </c>
    </row>
    <row r="2042" spans="2:2" x14ac:dyDescent="0.2">
      <c r="B2042" s="396">
        <v>2042</v>
      </c>
    </row>
    <row r="2043" spans="2:2" x14ac:dyDescent="0.2">
      <c r="B2043" s="396">
        <v>2043</v>
      </c>
    </row>
    <row r="2044" spans="2:2" x14ac:dyDescent="0.2">
      <c r="B2044" s="396">
        <v>2044</v>
      </c>
    </row>
    <row r="2045" spans="2:2" x14ac:dyDescent="0.2">
      <c r="B2045" s="396">
        <v>2045</v>
      </c>
    </row>
    <row r="2046" spans="2:2" x14ac:dyDescent="0.2">
      <c r="B2046" s="396">
        <v>2046</v>
      </c>
    </row>
    <row r="2047" spans="2:2" x14ac:dyDescent="0.2">
      <c r="B2047" s="396">
        <v>2047</v>
      </c>
    </row>
    <row r="2048" spans="2:2" x14ac:dyDescent="0.2">
      <c r="B2048" s="396">
        <v>2048</v>
      </c>
    </row>
    <row r="2049" spans="2:2" x14ac:dyDescent="0.2">
      <c r="B2049" s="396">
        <v>2049</v>
      </c>
    </row>
    <row r="2050" spans="2:2" x14ac:dyDescent="0.2">
      <c r="B2050" s="396">
        <v>2050</v>
      </c>
    </row>
    <row r="2051" spans="2:2" x14ac:dyDescent="0.2">
      <c r="B2051" s="396">
        <v>2051</v>
      </c>
    </row>
    <row r="2052" spans="2:2" x14ac:dyDescent="0.2">
      <c r="B2052" s="396">
        <v>2052</v>
      </c>
    </row>
    <row r="2053" spans="2:2" x14ac:dyDescent="0.2">
      <c r="B2053" s="396">
        <v>2053</v>
      </c>
    </row>
    <row r="2054" spans="2:2" x14ac:dyDescent="0.2">
      <c r="B2054" s="396">
        <v>2054</v>
      </c>
    </row>
    <row r="2055" spans="2:2" x14ac:dyDescent="0.2">
      <c r="B2055" s="396">
        <v>2055</v>
      </c>
    </row>
    <row r="2056" spans="2:2" x14ac:dyDescent="0.2">
      <c r="B2056" s="396">
        <v>2056</v>
      </c>
    </row>
    <row r="2057" spans="2:2" x14ac:dyDescent="0.2">
      <c r="B2057" s="396">
        <v>2057</v>
      </c>
    </row>
    <row r="2058" spans="2:2" x14ac:dyDescent="0.2">
      <c r="B2058" s="396">
        <v>2058</v>
      </c>
    </row>
    <row r="2059" spans="2:2" x14ac:dyDescent="0.2">
      <c r="B2059" s="396">
        <v>2059</v>
      </c>
    </row>
    <row r="2060" spans="2:2" x14ac:dyDescent="0.2">
      <c r="B2060" s="396">
        <v>2060</v>
      </c>
    </row>
    <row r="2061" spans="2:2" x14ac:dyDescent="0.2">
      <c r="B2061" s="396">
        <v>2061</v>
      </c>
    </row>
    <row r="2062" spans="2:2" x14ac:dyDescent="0.2">
      <c r="B2062" s="396">
        <v>2062</v>
      </c>
    </row>
    <row r="2063" spans="2:2" x14ac:dyDescent="0.2">
      <c r="B2063" s="396">
        <v>2063</v>
      </c>
    </row>
    <row r="2064" spans="2:2" x14ac:dyDescent="0.2">
      <c r="B2064" s="396">
        <v>2064</v>
      </c>
    </row>
    <row r="2065" spans="2:2" x14ac:dyDescent="0.2">
      <c r="B2065" s="396">
        <v>2065</v>
      </c>
    </row>
    <row r="2066" spans="2:2" x14ac:dyDescent="0.2">
      <c r="B2066" s="396">
        <v>2066</v>
      </c>
    </row>
    <row r="2067" spans="2:2" x14ac:dyDescent="0.2">
      <c r="B2067" s="396">
        <v>2067</v>
      </c>
    </row>
    <row r="2068" spans="2:2" x14ac:dyDescent="0.2">
      <c r="B2068" s="396">
        <v>2068</v>
      </c>
    </row>
    <row r="2069" spans="2:2" x14ac:dyDescent="0.2">
      <c r="B2069" s="396">
        <v>2069</v>
      </c>
    </row>
    <row r="2070" spans="2:2" x14ac:dyDescent="0.2">
      <c r="B2070" s="396">
        <v>2070</v>
      </c>
    </row>
    <row r="2071" spans="2:2" x14ac:dyDescent="0.2">
      <c r="B2071" s="396">
        <v>2071</v>
      </c>
    </row>
    <row r="2072" spans="2:2" x14ac:dyDescent="0.2">
      <c r="B2072" s="396">
        <v>2072</v>
      </c>
    </row>
    <row r="2073" spans="2:2" x14ac:dyDescent="0.2">
      <c r="B2073" s="396">
        <v>2073</v>
      </c>
    </row>
    <row r="2074" spans="2:2" x14ac:dyDescent="0.2">
      <c r="B2074" s="396">
        <v>2074</v>
      </c>
    </row>
    <row r="2075" spans="2:2" x14ac:dyDescent="0.2">
      <c r="B2075" s="396">
        <v>2075</v>
      </c>
    </row>
    <row r="2076" spans="2:2" x14ac:dyDescent="0.2">
      <c r="B2076" s="396">
        <v>2076</v>
      </c>
    </row>
    <row r="2077" spans="2:2" x14ac:dyDescent="0.2">
      <c r="B2077" s="396">
        <v>2077</v>
      </c>
    </row>
    <row r="2078" spans="2:2" x14ac:dyDescent="0.2">
      <c r="B2078" s="396">
        <v>2078</v>
      </c>
    </row>
    <row r="2079" spans="2:2" x14ac:dyDescent="0.2">
      <c r="B2079" s="396">
        <v>2079</v>
      </c>
    </row>
    <row r="2080" spans="2:2" x14ac:dyDescent="0.2">
      <c r="B2080" s="396">
        <v>2080</v>
      </c>
    </row>
    <row r="2081" spans="2:2" x14ac:dyDescent="0.2">
      <c r="B2081" s="396">
        <v>2081</v>
      </c>
    </row>
    <row r="2082" spans="2:2" x14ac:dyDescent="0.2">
      <c r="B2082" s="396">
        <v>2082</v>
      </c>
    </row>
    <row r="2083" spans="2:2" x14ac:dyDescent="0.2">
      <c r="B2083" s="396">
        <v>2083</v>
      </c>
    </row>
    <row r="2084" spans="2:2" x14ac:dyDescent="0.2">
      <c r="B2084" s="396">
        <v>2084</v>
      </c>
    </row>
    <row r="2085" spans="2:2" x14ac:dyDescent="0.2">
      <c r="B2085" s="396">
        <v>2085</v>
      </c>
    </row>
    <row r="2086" spans="2:2" x14ac:dyDescent="0.2">
      <c r="B2086" s="396">
        <v>2086</v>
      </c>
    </row>
    <row r="2087" spans="2:2" x14ac:dyDescent="0.2">
      <c r="B2087" s="396">
        <v>2087</v>
      </c>
    </row>
    <row r="2088" spans="2:2" x14ac:dyDescent="0.2">
      <c r="B2088" s="396">
        <v>2088</v>
      </c>
    </row>
    <row r="2089" spans="2:2" x14ac:dyDescent="0.2">
      <c r="B2089" s="396">
        <v>2089</v>
      </c>
    </row>
    <row r="2090" spans="2:2" x14ac:dyDescent="0.2">
      <c r="B2090" s="396">
        <v>2090</v>
      </c>
    </row>
    <row r="2091" spans="2:2" x14ac:dyDescent="0.2">
      <c r="B2091" s="396">
        <v>2091</v>
      </c>
    </row>
    <row r="2092" spans="2:2" x14ac:dyDescent="0.2">
      <c r="B2092" s="396">
        <v>2092</v>
      </c>
    </row>
    <row r="2093" spans="2:2" x14ac:dyDescent="0.2">
      <c r="B2093" s="396">
        <v>2093</v>
      </c>
    </row>
    <row r="2094" spans="2:2" x14ac:dyDescent="0.2">
      <c r="B2094" s="396">
        <v>2094</v>
      </c>
    </row>
    <row r="2095" spans="2:2" x14ac:dyDescent="0.2">
      <c r="B2095" s="396">
        <v>2095</v>
      </c>
    </row>
    <row r="2096" spans="2:2" x14ac:dyDescent="0.2">
      <c r="B2096" s="396">
        <v>2096</v>
      </c>
    </row>
    <row r="2097" spans="2:2" x14ac:dyDescent="0.2">
      <c r="B2097" s="396">
        <v>2097</v>
      </c>
    </row>
    <row r="2098" spans="2:2" x14ac:dyDescent="0.2">
      <c r="B2098" s="396">
        <v>2098</v>
      </c>
    </row>
    <row r="2099" spans="2:2" x14ac:dyDescent="0.2">
      <c r="B2099" s="396">
        <v>2099</v>
      </c>
    </row>
    <row r="2100" spans="2:2" x14ac:dyDescent="0.2">
      <c r="B2100" s="396">
        <v>2100</v>
      </c>
    </row>
    <row r="2101" spans="2:2" x14ac:dyDescent="0.2">
      <c r="B2101" s="396">
        <v>2101</v>
      </c>
    </row>
    <row r="2102" spans="2:2" x14ac:dyDescent="0.2">
      <c r="B2102" s="396">
        <v>2102</v>
      </c>
    </row>
    <row r="2103" spans="2:2" x14ac:dyDescent="0.2">
      <c r="B2103" s="396">
        <v>2103</v>
      </c>
    </row>
    <row r="2104" spans="2:2" x14ac:dyDescent="0.2">
      <c r="B2104" s="396">
        <v>2104</v>
      </c>
    </row>
    <row r="2105" spans="2:2" x14ac:dyDescent="0.2">
      <c r="B2105" s="396">
        <v>2105</v>
      </c>
    </row>
    <row r="2106" spans="2:2" x14ac:dyDescent="0.2">
      <c r="B2106" s="396">
        <v>2106</v>
      </c>
    </row>
    <row r="2107" spans="2:2" x14ac:dyDescent="0.2">
      <c r="B2107" s="396">
        <v>2107</v>
      </c>
    </row>
    <row r="2108" spans="2:2" x14ac:dyDescent="0.2">
      <c r="B2108" s="396">
        <v>2108</v>
      </c>
    </row>
    <row r="2109" spans="2:2" x14ac:dyDescent="0.2">
      <c r="B2109" s="396">
        <v>2109</v>
      </c>
    </row>
    <row r="2110" spans="2:2" x14ac:dyDescent="0.2">
      <c r="B2110" s="396">
        <v>2110</v>
      </c>
    </row>
    <row r="2111" spans="2:2" x14ac:dyDescent="0.2">
      <c r="B2111" s="396">
        <v>2111</v>
      </c>
    </row>
    <row r="2112" spans="2:2" x14ac:dyDescent="0.2">
      <c r="B2112" s="396">
        <v>2112</v>
      </c>
    </row>
    <row r="2113" spans="2:2" x14ac:dyDescent="0.2">
      <c r="B2113" s="396">
        <v>2113</v>
      </c>
    </row>
    <row r="2114" spans="2:2" x14ac:dyDescent="0.2">
      <c r="B2114" s="396">
        <v>2114</v>
      </c>
    </row>
    <row r="2115" spans="2:2" x14ac:dyDescent="0.2">
      <c r="B2115" s="396">
        <v>2115</v>
      </c>
    </row>
    <row r="2116" spans="2:2" x14ac:dyDescent="0.2">
      <c r="B2116" s="396">
        <v>2116</v>
      </c>
    </row>
    <row r="2117" spans="2:2" x14ac:dyDescent="0.2">
      <c r="B2117" s="396">
        <v>2117</v>
      </c>
    </row>
    <row r="2118" spans="2:2" x14ac:dyDescent="0.2">
      <c r="B2118" s="396">
        <v>2118</v>
      </c>
    </row>
    <row r="2119" spans="2:2" x14ac:dyDescent="0.2">
      <c r="B2119" s="396">
        <v>2119</v>
      </c>
    </row>
    <row r="2120" spans="2:2" x14ac:dyDescent="0.2">
      <c r="B2120" s="396">
        <v>2120</v>
      </c>
    </row>
    <row r="2121" spans="2:2" x14ac:dyDescent="0.2">
      <c r="B2121" s="396">
        <v>2121</v>
      </c>
    </row>
    <row r="2122" spans="2:2" x14ac:dyDescent="0.2">
      <c r="B2122" s="396">
        <v>2122</v>
      </c>
    </row>
    <row r="2123" spans="2:2" x14ac:dyDescent="0.2">
      <c r="B2123" s="396">
        <v>2123</v>
      </c>
    </row>
    <row r="2124" spans="2:2" x14ac:dyDescent="0.2">
      <c r="B2124" s="396">
        <v>2124</v>
      </c>
    </row>
    <row r="2125" spans="2:2" x14ac:dyDescent="0.2">
      <c r="B2125" s="396">
        <v>2125</v>
      </c>
    </row>
    <row r="2126" spans="2:2" x14ac:dyDescent="0.2">
      <c r="B2126" s="396">
        <v>2126</v>
      </c>
    </row>
    <row r="2127" spans="2:2" x14ac:dyDescent="0.2">
      <c r="B2127" s="396">
        <v>2127</v>
      </c>
    </row>
    <row r="2128" spans="2:2" x14ac:dyDescent="0.2">
      <c r="B2128" s="396">
        <v>2128</v>
      </c>
    </row>
    <row r="2129" spans="2:2" x14ac:dyDescent="0.2">
      <c r="B2129" s="396">
        <v>2129</v>
      </c>
    </row>
    <row r="2130" spans="2:2" x14ac:dyDescent="0.2">
      <c r="B2130" s="396">
        <v>2130</v>
      </c>
    </row>
    <row r="2131" spans="2:2" x14ac:dyDescent="0.2">
      <c r="B2131" s="396">
        <v>2131</v>
      </c>
    </row>
    <row r="2132" spans="2:2" x14ac:dyDescent="0.2">
      <c r="B2132" s="396">
        <v>2132</v>
      </c>
    </row>
    <row r="2133" spans="2:2" x14ac:dyDescent="0.2">
      <c r="B2133" s="396">
        <v>2133</v>
      </c>
    </row>
    <row r="2134" spans="2:2" x14ac:dyDescent="0.2">
      <c r="B2134" s="396">
        <v>2134</v>
      </c>
    </row>
    <row r="2135" spans="2:2" x14ac:dyDescent="0.2">
      <c r="B2135" s="396">
        <v>2135</v>
      </c>
    </row>
    <row r="2136" spans="2:2" x14ac:dyDescent="0.2">
      <c r="B2136" s="396">
        <v>2136</v>
      </c>
    </row>
    <row r="2137" spans="2:2" x14ac:dyDescent="0.2">
      <c r="B2137" s="396">
        <v>2137</v>
      </c>
    </row>
    <row r="2138" spans="2:2" x14ac:dyDescent="0.2">
      <c r="B2138" s="396">
        <v>2138</v>
      </c>
    </row>
    <row r="2139" spans="2:2" x14ac:dyDescent="0.2">
      <c r="B2139" s="396">
        <v>2139</v>
      </c>
    </row>
    <row r="2140" spans="2:2" x14ac:dyDescent="0.2">
      <c r="B2140" s="396">
        <v>2140</v>
      </c>
    </row>
    <row r="2141" spans="2:2" x14ac:dyDescent="0.2">
      <c r="B2141" s="396">
        <v>2141</v>
      </c>
    </row>
    <row r="2142" spans="2:2" x14ac:dyDescent="0.2">
      <c r="B2142" s="396">
        <v>2142</v>
      </c>
    </row>
    <row r="2143" spans="2:2" x14ac:dyDescent="0.2">
      <c r="B2143" s="396">
        <v>2143</v>
      </c>
    </row>
    <row r="2144" spans="2:2" x14ac:dyDescent="0.2">
      <c r="B2144" s="396">
        <v>2144</v>
      </c>
    </row>
    <row r="2145" spans="2:2" x14ac:dyDescent="0.2">
      <c r="B2145" s="396">
        <v>2145</v>
      </c>
    </row>
    <row r="2146" spans="2:2" x14ac:dyDescent="0.2">
      <c r="B2146" s="396">
        <v>2146</v>
      </c>
    </row>
    <row r="2147" spans="2:2" x14ac:dyDescent="0.2">
      <c r="B2147" s="396">
        <v>2147</v>
      </c>
    </row>
    <row r="2148" spans="2:2" x14ac:dyDescent="0.2">
      <c r="B2148" s="396">
        <v>2148</v>
      </c>
    </row>
    <row r="2149" spans="2:2" x14ac:dyDescent="0.2">
      <c r="B2149" s="396">
        <v>2149</v>
      </c>
    </row>
    <row r="2150" spans="2:2" x14ac:dyDescent="0.2">
      <c r="B2150" s="396">
        <v>2150</v>
      </c>
    </row>
    <row r="2151" spans="2:2" x14ac:dyDescent="0.2">
      <c r="B2151" s="396">
        <v>2151</v>
      </c>
    </row>
    <row r="2152" spans="2:2" x14ac:dyDescent="0.2">
      <c r="B2152" s="396">
        <v>2152</v>
      </c>
    </row>
    <row r="2153" spans="2:2" x14ac:dyDescent="0.2">
      <c r="B2153" s="396">
        <v>2153</v>
      </c>
    </row>
    <row r="2154" spans="2:2" x14ac:dyDescent="0.2">
      <c r="B2154" s="396">
        <v>2154</v>
      </c>
    </row>
    <row r="2155" spans="2:2" x14ac:dyDescent="0.2">
      <c r="B2155" s="396">
        <v>2155</v>
      </c>
    </row>
    <row r="2156" spans="2:2" x14ac:dyDescent="0.2">
      <c r="B2156" s="396">
        <v>2156</v>
      </c>
    </row>
    <row r="2157" spans="2:2" x14ac:dyDescent="0.2">
      <c r="B2157" s="396">
        <v>2157</v>
      </c>
    </row>
    <row r="2158" spans="2:2" x14ac:dyDescent="0.2">
      <c r="B2158" s="396">
        <v>2158</v>
      </c>
    </row>
    <row r="2159" spans="2:2" x14ac:dyDescent="0.2">
      <c r="B2159" s="396">
        <v>2159</v>
      </c>
    </row>
    <row r="2160" spans="2:2" x14ac:dyDescent="0.2">
      <c r="B2160" s="396">
        <v>2160</v>
      </c>
    </row>
    <row r="2161" spans="2:2" x14ac:dyDescent="0.2">
      <c r="B2161" s="396">
        <v>2161</v>
      </c>
    </row>
    <row r="2162" spans="2:2" x14ac:dyDescent="0.2">
      <c r="B2162" s="396">
        <v>2162</v>
      </c>
    </row>
    <row r="2163" spans="2:2" x14ac:dyDescent="0.2">
      <c r="B2163" s="396">
        <v>2163</v>
      </c>
    </row>
    <row r="2164" spans="2:2" x14ac:dyDescent="0.2">
      <c r="B2164" s="396">
        <v>2164</v>
      </c>
    </row>
    <row r="2165" spans="2:2" x14ac:dyDescent="0.2">
      <c r="B2165" s="396">
        <v>2165</v>
      </c>
    </row>
    <row r="2166" spans="2:2" x14ac:dyDescent="0.2">
      <c r="B2166" s="396">
        <v>2166</v>
      </c>
    </row>
    <row r="2167" spans="2:2" x14ac:dyDescent="0.2">
      <c r="B2167" s="396">
        <v>2167</v>
      </c>
    </row>
    <row r="2168" spans="2:2" x14ac:dyDescent="0.2">
      <c r="B2168" s="396">
        <v>2168</v>
      </c>
    </row>
    <row r="2169" spans="2:2" x14ac:dyDescent="0.2">
      <c r="B2169" s="396">
        <v>2169</v>
      </c>
    </row>
    <row r="2170" spans="2:2" x14ac:dyDescent="0.2">
      <c r="B2170" s="396">
        <v>2170</v>
      </c>
    </row>
    <row r="2171" spans="2:2" x14ac:dyDescent="0.2">
      <c r="B2171" s="396">
        <v>2171</v>
      </c>
    </row>
    <row r="2172" spans="2:2" x14ac:dyDescent="0.2">
      <c r="B2172" s="396">
        <v>2172</v>
      </c>
    </row>
    <row r="2173" spans="2:2" x14ac:dyDescent="0.2">
      <c r="B2173" s="396">
        <v>2173</v>
      </c>
    </row>
    <row r="2174" spans="2:2" x14ac:dyDescent="0.2">
      <c r="B2174" s="396">
        <v>2174</v>
      </c>
    </row>
    <row r="2175" spans="2:2" x14ac:dyDescent="0.2">
      <c r="B2175" s="396">
        <v>2175</v>
      </c>
    </row>
    <row r="2176" spans="2:2" x14ac:dyDescent="0.2">
      <c r="B2176" s="396">
        <v>2176</v>
      </c>
    </row>
    <row r="2177" spans="2:2" x14ac:dyDescent="0.2">
      <c r="B2177" s="396">
        <v>2177</v>
      </c>
    </row>
    <row r="2178" spans="2:2" x14ac:dyDescent="0.2">
      <c r="B2178" s="396">
        <v>2178</v>
      </c>
    </row>
    <row r="2179" spans="2:2" x14ac:dyDescent="0.2">
      <c r="B2179" s="396">
        <v>2179</v>
      </c>
    </row>
    <row r="2180" spans="2:2" x14ac:dyDescent="0.2">
      <c r="B2180" s="396">
        <v>2180</v>
      </c>
    </row>
    <row r="2181" spans="2:2" x14ac:dyDescent="0.2">
      <c r="B2181" s="396">
        <v>2181</v>
      </c>
    </row>
    <row r="2182" spans="2:2" x14ac:dyDescent="0.2">
      <c r="B2182" s="396">
        <v>2182</v>
      </c>
    </row>
    <row r="2183" spans="2:2" x14ac:dyDescent="0.2">
      <c r="B2183" s="396">
        <v>2183</v>
      </c>
    </row>
    <row r="2184" spans="2:2" x14ac:dyDescent="0.2">
      <c r="B2184" s="396">
        <v>2184</v>
      </c>
    </row>
    <row r="2185" spans="2:2" x14ac:dyDescent="0.2">
      <c r="B2185" s="396">
        <v>2185</v>
      </c>
    </row>
    <row r="2186" spans="2:2" x14ac:dyDescent="0.2">
      <c r="B2186" s="396">
        <v>2186</v>
      </c>
    </row>
    <row r="2187" spans="2:2" x14ac:dyDescent="0.2">
      <c r="B2187" s="396">
        <v>2187</v>
      </c>
    </row>
    <row r="2188" spans="2:2" x14ac:dyDescent="0.2">
      <c r="B2188" s="396">
        <v>2188</v>
      </c>
    </row>
    <row r="2189" spans="2:2" x14ac:dyDescent="0.2">
      <c r="B2189" s="396">
        <v>2189</v>
      </c>
    </row>
    <row r="2190" spans="2:2" x14ac:dyDescent="0.2">
      <c r="B2190" s="396">
        <v>2190</v>
      </c>
    </row>
    <row r="2191" spans="2:2" x14ac:dyDescent="0.2">
      <c r="B2191" s="396">
        <v>2191</v>
      </c>
    </row>
    <row r="2192" spans="2:2" x14ac:dyDescent="0.2">
      <c r="B2192" s="396">
        <v>2192</v>
      </c>
    </row>
    <row r="2193" spans="2:2" x14ac:dyDescent="0.2">
      <c r="B2193" s="396">
        <v>2193</v>
      </c>
    </row>
    <row r="2194" spans="2:2" x14ac:dyDescent="0.2">
      <c r="B2194" s="396">
        <v>2194</v>
      </c>
    </row>
    <row r="2195" spans="2:2" x14ac:dyDescent="0.2">
      <c r="B2195" s="396">
        <v>2195</v>
      </c>
    </row>
    <row r="2196" spans="2:2" x14ac:dyDescent="0.2">
      <c r="B2196" s="396">
        <v>2196</v>
      </c>
    </row>
    <row r="2197" spans="2:2" x14ac:dyDescent="0.2">
      <c r="B2197" s="396">
        <v>2197</v>
      </c>
    </row>
    <row r="2198" spans="2:2" x14ac:dyDescent="0.2">
      <c r="B2198" s="396">
        <v>2198</v>
      </c>
    </row>
    <row r="2199" spans="2:2" x14ac:dyDescent="0.2">
      <c r="B2199" s="396">
        <v>2199</v>
      </c>
    </row>
    <row r="2200" spans="2:2" x14ac:dyDescent="0.2">
      <c r="B2200" s="396">
        <v>2200</v>
      </c>
    </row>
    <row r="2201" spans="2:2" x14ac:dyDescent="0.2">
      <c r="B2201" s="396">
        <v>2201</v>
      </c>
    </row>
    <row r="2202" spans="2:2" x14ac:dyDescent="0.2">
      <c r="B2202" s="396">
        <v>2202</v>
      </c>
    </row>
    <row r="2203" spans="2:2" x14ac:dyDescent="0.2">
      <c r="B2203" s="396">
        <v>2203</v>
      </c>
    </row>
    <row r="2204" spans="2:2" x14ac:dyDescent="0.2">
      <c r="B2204" s="396">
        <v>2204</v>
      </c>
    </row>
    <row r="2205" spans="2:2" x14ac:dyDescent="0.2">
      <c r="B2205" s="396">
        <v>2205</v>
      </c>
    </row>
    <row r="2206" spans="2:2" x14ac:dyDescent="0.2">
      <c r="B2206" s="396">
        <v>2206</v>
      </c>
    </row>
    <row r="2207" spans="2:2" x14ac:dyDescent="0.2">
      <c r="B2207" s="396">
        <v>2207</v>
      </c>
    </row>
    <row r="2208" spans="2:2" x14ac:dyDescent="0.2">
      <c r="B2208" s="396">
        <v>2208</v>
      </c>
    </row>
    <row r="2209" spans="2:2" x14ac:dyDescent="0.2">
      <c r="B2209" s="396">
        <v>2209</v>
      </c>
    </row>
    <row r="2210" spans="2:2" x14ac:dyDescent="0.2">
      <c r="B2210" s="396">
        <v>2210</v>
      </c>
    </row>
    <row r="2211" spans="2:2" x14ac:dyDescent="0.2">
      <c r="B2211" s="396">
        <v>2211</v>
      </c>
    </row>
    <row r="2212" spans="2:2" x14ac:dyDescent="0.2">
      <c r="B2212" s="396">
        <v>2212</v>
      </c>
    </row>
    <row r="2213" spans="2:2" x14ac:dyDescent="0.2">
      <c r="B2213" s="396">
        <v>2213</v>
      </c>
    </row>
    <row r="2214" spans="2:2" x14ac:dyDescent="0.2">
      <c r="B2214" s="396">
        <v>2214</v>
      </c>
    </row>
    <row r="2215" spans="2:2" x14ac:dyDescent="0.2">
      <c r="B2215" s="396">
        <v>2215</v>
      </c>
    </row>
    <row r="2216" spans="2:2" x14ac:dyDescent="0.2">
      <c r="B2216" s="396">
        <v>2216</v>
      </c>
    </row>
    <row r="2217" spans="2:2" x14ac:dyDescent="0.2">
      <c r="B2217" s="396">
        <v>2217</v>
      </c>
    </row>
    <row r="2218" spans="2:2" x14ac:dyDescent="0.2">
      <c r="B2218" s="396">
        <v>2218</v>
      </c>
    </row>
    <row r="2219" spans="2:2" x14ac:dyDescent="0.2">
      <c r="B2219" s="396">
        <v>2219</v>
      </c>
    </row>
    <row r="2220" spans="2:2" x14ac:dyDescent="0.2">
      <c r="B2220" s="396">
        <v>2220</v>
      </c>
    </row>
    <row r="2221" spans="2:2" x14ac:dyDescent="0.2">
      <c r="B2221" s="396">
        <v>2221</v>
      </c>
    </row>
    <row r="2222" spans="2:2" x14ac:dyDescent="0.2">
      <c r="B2222" s="396">
        <v>2222</v>
      </c>
    </row>
    <row r="2223" spans="2:2" x14ac:dyDescent="0.2">
      <c r="B2223" s="396">
        <v>2223</v>
      </c>
    </row>
    <row r="2224" spans="2:2" x14ac:dyDescent="0.2">
      <c r="B2224" s="396">
        <v>2224</v>
      </c>
    </row>
    <row r="2225" spans="2:2" x14ac:dyDescent="0.2">
      <c r="B2225" s="396">
        <v>2225</v>
      </c>
    </row>
    <row r="2226" spans="2:2" x14ac:dyDescent="0.2">
      <c r="B2226" s="396">
        <v>2226</v>
      </c>
    </row>
    <row r="2227" spans="2:2" x14ac:dyDescent="0.2">
      <c r="B2227" s="396">
        <v>2227</v>
      </c>
    </row>
    <row r="2228" spans="2:2" x14ac:dyDescent="0.2">
      <c r="B2228" s="396">
        <v>2228</v>
      </c>
    </row>
    <row r="2229" spans="2:2" x14ac:dyDescent="0.2">
      <c r="B2229" s="396">
        <v>2229</v>
      </c>
    </row>
    <row r="2230" spans="2:2" x14ac:dyDescent="0.2">
      <c r="B2230" s="396">
        <v>2230</v>
      </c>
    </row>
    <row r="2231" spans="2:2" x14ac:dyDescent="0.2">
      <c r="B2231" s="396">
        <v>2231</v>
      </c>
    </row>
    <row r="2232" spans="2:2" x14ac:dyDescent="0.2">
      <c r="B2232" s="396">
        <v>2232</v>
      </c>
    </row>
    <row r="2233" spans="2:2" x14ac:dyDescent="0.2">
      <c r="B2233" s="396">
        <v>2233</v>
      </c>
    </row>
    <row r="2234" spans="2:2" x14ac:dyDescent="0.2">
      <c r="B2234" s="396">
        <v>2234</v>
      </c>
    </row>
    <row r="2235" spans="2:2" x14ac:dyDescent="0.2">
      <c r="B2235" s="396">
        <v>2235</v>
      </c>
    </row>
    <row r="2236" spans="2:2" x14ac:dyDescent="0.2">
      <c r="B2236" s="396">
        <v>2236</v>
      </c>
    </row>
    <row r="2237" spans="2:2" x14ac:dyDescent="0.2">
      <c r="B2237" s="396">
        <v>2237</v>
      </c>
    </row>
    <row r="2238" spans="2:2" x14ac:dyDescent="0.2">
      <c r="B2238" s="396">
        <v>2238</v>
      </c>
    </row>
    <row r="2239" spans="2:2" x14ac:dyDescent="0.2">
      <c r="B2239" s="396">
        <v>2239</v>
      </c>
    </row>
    <row r="2240" spans="2:2" x14ac:dyDescent="0.2">
      <c r="B2240" s="396">
        <v>2240</v>
      </c>
    </row>
    <row r="2241" spans="2:2" x14ac:dyDescent="0.2">
      <c r="B2241" s="396">
        <v>2241</v>
      </c>
    </row>
    <row r="2242" spans="2:2" x14ac:dyDescent="0.2">
      <c r="B2242" s="396">
        <v>2242</v>
      </c>
    </row>
    <row r="2243" spans="2:2" x14ac:dyDescent="0.2">
      <c r="B2243" s="396">
        <v>2243</v>
      </c>
    </row>
    <row r="2244" spans="2:2" x14ac:dyDescent="0.2">
      <c r="B2244" s="396">
        <v>2244</v>
      </c>
    </row>
    <row r="2245" spans="2:2" x14ac:dyDescent="0.2">
      <c r="B2245" s="396">
        <v>2245</v>
      </c>
    </row>
    <row r="2246" spans="2:2" x14ac:dyDescent="0.2">
      <c r="B2246" s="396">
        <v>2246</v>
      </c>
    </row>
    <row r="2247" spans="2:2" x14ac:dyDescent="0.2">
      <c r="B2247" s="396">
        <v>2247</v>
      </c>
    </row>
    <row r="2248" spans="2:2" x14ac:dyDescent="0.2">
      <c r="B2248" s="396">
        <v>2248</v>
      </c>
    </row>
    <row r="2249" spans="2:2" x14ac:dyDescent="0.2">
      <c r="B2249" s="396">
        <v>2249</v>
      </c>
    </row>
    <row r="2250" spans="2:2" x14ac:dyDescent="0.2">
      <c r="B2250" s="396">
        <v>2250</v>
      </c>
    </row>
    <row r="2251" spans="2:2" x14ac:dyDescent="0.2">
      <c r="B2251" s="396">
        <v>2251</v>
      </c>
    </row>
    <row r="2252" spans="2:2" x14ac:dyDescent="0.2">
      <c r="B2252" s="396">
        <v>2252</v>
      </c>
    </row>
    <row r="2253" spans="2:2" x14ac:dyDescent="0.2">
      <c r="B2253" s="396">
        <v>2253</v>
      </c>
    </row>
    <row r="2254" spans="2:2" x14ac:dyDescent="0.2">
      <c r="B2254" s="396">
        <v>2254</v>
      </c>
    </row>
    <row r="2255" spans="2:2" x14ac:dyDescent="0.2">
      <c r="B2255" s="396">
        <v>2255</v>
      </c>
    </row>
    <row r="2256" spans="2:2" x14ac:dyDescent="0.2">
      <c r="B2256" s="396">
        <v>2256</v>
      </c>
    </row>
    <row r="2257" spans="2:2" x14ac:dyDescent="0.2">
      <c r="B2257" s="396">
        <v>2257</v>
      </c>
    </row>
    <row r="2258" spans="2:2" x14ac:dyDescent="0.2">
      <c r="B2258" s="396">
        <v>2258</v>
      </c>
    </row>
    <row r="2259" spans="2:2" x14ac:dyDescent="0.2">
      <c r="B2259" s="396">
        <v>2259</v>
      </c>
    </row>
    <row r="2260" spans="2:2" x14ac:dyDescent="0.2">
      <c r="B2260" s="396">
        <v>2260</v>
      </c>
    </row>
    <row r="2261" spans="2:2" x14ac:dyDescent="0.2">
      <c r="B2261" s="396">
        <v>2261</v>
      </c>
    </row>
    <row r="2262" spans="2:2" x14ac:dyDescent="0.2">
      <c r="B2262" s="396">
        <v>2262</v>
      </c>
    </row>
    <row r="2263" spans="2:2" x14ac:dyDescent="0.2">
      <c r="B2263" s="396">
        <v>2263</v>
      </c>
    </row>
    <row r="2264" spans="2:2" x14ac:dyDescent="0.2">
      <c r="B2264" s="396">
        <v>2264</v>
      </c>
    </row>
    <row r="2265" spans="2:2" x14ac:dyDescent="0.2">
      <c r="B2265" s="396">
        <v>2265</v>
      </c>
    </row>
    <row r="2266" spans="2:2" x14ac:dyDescent="0.2">
      <c r="B2266" s="396">
        <v>2266</v>
      </c>
    </row>
    <row r="2267" spans="2:2" x14ac:dyDescent="0.2">
      <c r="B2267" s="396">
        <v>2267</v>
      </c>
    </row>
    <row r="2268" spans="2:2" x14ac:dyDescent="0.2">
      <c r="B2268" s="396">
        <v>2268</v>
      </c>
    </row>
    <row r="2269" spans="2:2" x14ac:dyDescent="0.2">
      <c r="B2269" s="396">
        <v>2269</v>
      </c>
    </row>
    <row r="2270" spans="2:2" x14ac:dyDescent="0.2">
      <c r="B2270" s="396">
        <v>2270</v>
      </c>
    </row>
    <row r="2271" spans="2:2" x14ac:dyDescent="0.2">
      <c r="B2271" s="396">
        <v>2271</v>
      </c>
    </row>
    <row r="2272" spans="2:2" x14ac:dyDescent="0.2">
      <c r="B2272" s="396">
        <v>2272</v>
      </c>
    </row>
    <row r="2273" spans="2:2" x14ac:dyDescent="0.2">
      <c r="B2273" s="396">
        <v>2273</v>
      </c>
    </row>
    <row r="2274" spans="2:2" x14ac:dyDescent="0.2">
      <c r="B2274" s="396">
        <v>2274</v>
      </c>
    </row>
    <row r="2275" spans="2:2" x14ac:dyDescent="0.2">
      <c r="B2275" s="396">
        <v>2275</v>
      </c>
    </row>
    <row r="2276" spans="2:2" x14ac:dyDescent="0.2">
      <c r="B2276" s="396">
        <v>2276</v>
      </c>
    </row>
    <row r="2277" spans="2:2" x14ac:dyDescent="0.2">
      <c r="B2277" s="396">
        <v>2277</v>
      </c>
    </row>
    <row r="2278" spans="2:2" x14ac:dyDescent="0.2">
      <c r="B2278" s="396">
        <v>2278</v>
      </c>
    </row>
    <row r="2279" spans="2:2" x14ac:dyDescent="0.2">
      <c r="B2279" s="396">
        <v>2279</v>
      </c>
    </row>
    <row r="2280" spans="2:2" x14ac:dyDescent="0.2">
      <c r="B2280" s="396">
        <v>2280</v>
      </c>
    </row>
    <row r="2281" spans="2:2" x14ac:dyDescent="0.2">
      <c r="B2281" s="396">
        <v>2281</v>
      </c>
    </row>
    <row r="2282" spans="2:2" x14ac:dyDescent="0.2">
      <c r="B2282" s="396">
        <v>2282</v>
      </c>
    </row>
    <row r="2283" spans="2:2" x14ac:dyDescent="0.2">
      <c r="B2283" s="396">
        <v>2283</v>
      </c>
    </row>
    <row r="2284" spans="2:2" x14ac:dyDescent="0.2">
      <c r="B2284" s="396">
        <v>2284</v>
      </c>
    </row>
    <row r="2285" spans="2:2" x14ac:dyDescent="0.2">
      <c r="B2285" s="396">
        <v>2285</v>
      </c>
    </row>
    <row r="2286" spans="2:2" x14ac:dyDescent="0.2">
      <c r="B2286" s="396">
        <v>2286</v>
      </c>
    </row>
    <row r="2287" spans="2:2" x14ac:dyDescent="0.2">
      <c r="B2287" s="396">
        <v>2287</v>
      </c>
    </row>
    <row r="2288" spans="2:2" x14ac:dyDescent="0.2">
      <c r="B2288" s="396">
        <v>2288</v>
      </c>
    </row>
    <row r="2289" spans="2:2" x14ac:dyDescent="0.2">
      <c r="B2289" s="396">
        <v>2289</v>
      </c>
    </row>
    <row r="2290" spans="2:2" x14ac:dyDescent="0.2">
      <c r="B2290" s="396">
        <v>2290</v>
      </c>
    </row>
    <row r="2291" spans="2:2" x14ac:dyDescent="0.2">
      <c r="B2291" s="396">
        <v>2291</v>
      </c>
    </row>
    <row r="2292" spans="2:2" x14ac:dyDescent="0.2">
      <c r="B2292" s="396">
        <v>2292</v>
      </c>
    </row>
    <row r="2293" spans="2:2" x14ac:dyDescent="0.2">
      <c r="B2293" s="396">
        <v>2293</v>
      </c>
    </row>
    <row r="2294" spans="2:2" x14ac:dyDescent="0.2">
      <c r="B2294" s="396">
        <v>2294</v>
      </c>
    </row>
    <row r="2295" spans="2:2" x14ac:dyDescent="0.2">
      <c r="B2295" s="396">
        <v>2295</v>
      </c>
    </row>
    <row r="2296" spans="2:2" x14ac:dyDescent="0.2">
      <c r="B2296" s="396">
        <v>2296</v>
      </c>
    </row>
    <row r="2297" spans="2:2" x14ac:dyDescent="0.2">
      <c r="B2297" s="396">
        <v>2297</v>
      </c>
    </row>
    <row r="2298" spans="2:2" x14ac:dyDescent="0.2">
      <c r="B2298" s="396">
        <v>2298</v>
      </c>
    </row>
    <row r="2299" spans="2:2" x14ac:dyDescent="0.2">
      <c r="B2299" s="396">
        <v>2299</v>
      </c>
    </row>
    <row r="2300" spans="2:2" x14ac:dyDescent="0.2">
      <c r="B2300" s="396">
        <v>2300</v>
      </c>
    </row>
    <row r="2301" spans="2:2" x14ac:dyDescent="0.2">
      <c r="B2301" s="396">
        <v>2301</v>
      </c>
    </row>
    <row r="2302" spans="2:2" x14ac:dyDescent="0.2">
      <c r="B2302" s="396">
        <v>2302</v>
      </c>
    </row>
    <row r="2303" spans="2:2" x14ac:dyDescent="0.2">
      <c r="B2303" s="396">
        <v>2303</v>
      </c>
    </row>
    <row r="2304" spans="2:2" x14ac:dyDescent="0.2">
      <c r="B2304" s="396">
        <v>2304</v>
      </c>
    </row>
    <row r="2305" spans="2:2" x14ac:dyDescent="0.2">
      <c r="B2305" s="396">
        <v>2305</v>
      </c>
    </row>
    <row r="2306" spans="2:2" x14ac:dyDescent="0.2">
      <c r="B2306" s="396">
        <v>2306</v>
      </c>
    </row>
    <row r="2307" spans="2:2" x14ac:dyDescent="0.2">
      <c r="B2307" s="396">
        <v>2307</v>
      </c>
    </row>
    <row r="2308" spans="2:2" x14ac:dyDescent="0.2">
      <c r="B2308" s="396">
        <v>2308</v>
      </c>
    </row>
    <row r="2309" spans="2:2" x14ac:dyDescent="0.2">
      <c r="B2309" s="396">
        <v>2309</v>
      </c>
    </row>
    <row r="2310" spans="2:2" x14ac:dyDescent="0.2">
      <c r="B2310" s="396">
        <v>2310</v>
      </c>
    </row>
    <row r="2311" spans="2:2" x14ac:dyDescent="0.2">
      <c r="B2311" s="396">
        <v>2311</v>
      </c>
    </row>
    <row r="2312" spans="2:2" x14ac:dyDescent="0.2">
      <c r="B2312" s="396">
        <v>2312</v>
      </c>
    </row>
    <row r="2313" spans="2:2" x14ac:dyDescent="0.2">
      <c r="B2313" s="396">
        <v>2313</v>
      </c>
    </row>
    <row r="2314" spans="2:2" x14ac:dyDescent="0.2">
      <c r="B2314" s="396">
        <v>2314</v>
      </c>
    </row>
    <row r="2315" spans="2:2" x14ac:dyDescent="0.2">
      <c r="B2315" s="396">
        <v>2315</v>
      </c>
    </row>
    <row r="2316" spans="2:2" x14ac:dyDescent="0.2">
      <c r="B2316" s="396">
        <v>2316</v>
      </c>
    </row>
    <row r="2317" spans="2:2" x14ac:dyDescent="0.2">
      <c r="B2317" s="396">
        <v>2317</v>
      </c>
    </row>
    <row r="2318" spans="2:2" x14ac:dyDescent="0.2">
      <c r="B2318" s="396">
        <v>2318</v>
      </c>
    </row>
    <row r="2319" spans="2:2" x14ac:dyDescent="0.2">
      <c r="B2319" s="396">
        <v>2319</v>
      </c>
    </row>
    <row r="2320" spans="2:2" x14ac:dyDescent="0.2">
      <c r="B2320" s="396">
        <v>2320</v>
      </c>
    </row>
    <row r="2321" spans="2:2" x14ac:dyDescent="0.2">
      <c r="B2321" s="396">
        <v>2321</v>
      </c>
    </row>
    <row r="2322" spans="2:2" x14ac:dyDescent="0.2">
      <c r="B2322" s="396">
        <v>2322</v>
      </c>
    </row>
    <row r="2323" spans="2:2" x14ac:dyDescent="0.2">
      <c r="B2323" s="396">
        <v>2323</v>
      </c>
    </row>
    <row r="2324" spans="2:2" x14ac:dyDescent="0.2">
      <c r="B2324" s="396">
        <v>2324</v>
      </c>
    </row>
    <row r="2325" spans="2:2" x14ac:dyDescent="0.2">
      <c r="B2325" s="396">
        <v>2325</v>
      </c>
    </row>
    <row r="2326" spans="2:2" x14ac:dyDescent="0.2">
      <c r="B2326" s="396">
        <v>2326</v>
      </c>
    </row>
    <row r="2327" spans="2:2" x14ac:dyDescent="0.2">
      <c r="B2327" s="396">
        <v>2327</v>
      </c>
    </row>
    <row r="2328" spans="2:2" x14ac:dyDescent="0.2">
      <c r="B2328" s="396">
        <v>2328</v>
      </c>
    </row>
    <row r="2329" spans="2:2" x14ac:dyDescent="0.2">
      <c r="B2329" s="396">
        <v>2329</v>
      </c>
    </row>
    <row r="2330" spans="2:2" x14ac:dyDescent="0.2">
      <c r="B2330" s="396">
        <v>2330</v>
      </c>
    </row>
    <row r="2331" spans="2:2" x14ac:dyDescent="0.2">
      <c r="B2331" s="396">
        <v>2331</v>
      </c>
    </row>
    <row r="2332" spans="2:2" x14ac:dyDescent="0.2">
      <c r="B2332" s="396">
        <v>2332</v>
      </c>
    </row>
    <row r="2333" spans="2:2" x14ac:dyDescent="0.2">
      <c r="B2333" s="396">
        <v>2333</v>
      </c>
    </row>
    <row r="2334" spans="2:2" x14ac:dyDescent="0.2">
      <c r="B2334" s="396">
        <v>2334</v>
      </c>
    </row>
    <row r="2335" spans="2:2" x14ac:dyDescent="0.2">
      <c r="B2335" s="396">
        <v>2335</v>
      </c>
    </row>
    <row r="2336" spans="2:2" x14ac:dyDescent="0.2">
      <c r="B2336" s="396">
        <v>2336</v>
      </c>
    </row>
    <row r="2337" spans="2:2" x14ac:dyDescent="0.2">
      <c r="B2337" s="396">
        <v>2337</v>
      </c>
    </row>
    <row r="2338" spans="2:2" x14ac:dyDescent="0.2">
      <c r="B2338" s="396">
        <v>2338</v>
      </c>
    </row>
    <row r="2339" spans="2:2" x14ac:dyDescent="0.2">
      <c r="B2339" s="396">
        <v>2339</v>
      </c>
    </row>
    <row r="2340" spans="2:2" x14ac:dyDescent="0.2">
      <c r="B2340" s="396">
        <v>2340</v>
      </c>
    </row>
    <row r="2341" spans="2:2" x14ac:dyDescent="0.2">
      <c r="B2341" s="396">
        <v>2341</v>
      </c>
    </row>
    <row r="2342" spans="2:2" x14ac:dyDescent="0.2">
      <c r="B2342" s="396">
        <v>2342</v>
      </c>
    </row>
    <row r="2343" spans="2:2" x14ac:dyDescent="0.2">
      <c r="B2343" s="396">
        <v>2343</v>
      </c>
    </row>
    <row r="2344" spans="2:2" x14ac:dyDescent="0.2">
      <c r="B2344" s="396">
        <v>2344</v>
      </c>
    </row>
    <row r="2345" spans="2:2" x14ac:dyDescent="0.2">
      <c r="B2345" s="396">
        <v>2345</v>
      </c>
    </row>
    <row r="2346" spans="2:2" x14ac:dyDescent="0.2">
      <c r="B2346" s="396">
        <v>2346</v>
      </c>
    </row>
    <row r="2347" spans="2:2" x14ac:dyDescent="0.2">
      <c r="B2347" s="396">
        <v>2347</v>
      </c>
    </row>
    <row r="2348" spans="2:2" x14ac:dyDescent="0.2">
      <c r="B2348" s="396">
        <v>2348</v>
      </c>
    </row>
    <row r="2349" spans="2:2" x14ac:dyDescent="0.2">
      <c r="B2349" s="396">
        <v>2349</v>
      </c>
    </row>
    <row r="2350" spans="2:2" x14ac:dyDescent="0.2">
      <c r="B2350" s="396">
        <v>2350</v>
      </c>
    </row>
    <row r="2351" spans="2:2" x14ac:dyDescent="0.2">
      <c r="B2351" s="396">
        <v>2351</v>
      </c>
    </row>
    <row r="2352" spans="2:2" x14ac:dyDescent="0.2">
      <c r="B2352" s="396">
        <v>2352</v>
      </c>
    </row>
    <row r="2353" spans="2:2" x14ac:dyDescent="0.2">
      <c r="B2353" s="396">
        <v>2353</v>
      </c>
    </row>
    <row r="2354" spans="2:2" x14ac:dyDescent="0.2">
      <c r="B2354" s="396">
        <v>2354</v>
      </c>
    </row>
    <row r="2355" spans="2:2" x14ac:dyDescent="0.2">
      <c r="B2355" s="396">
        <v>2355</v>
      </c>
    </row>
    <row r="2356" spans="2:2" x14ac:dyDescent="0.2">
      <c r="B2356" s="396">
        <v>2356</v>
      </c>
    </row>
    <row r="2357" spans="2:2" x14ac:dyDescent="0.2">
      <c r="B2357" s="396">
        <v>2357</v>
      </c>
    </row>
    <row r="2358" spans="2:2" x14ac:dyDescent="0.2">
      <c r="B2358" s="396">
        <v>2358</v>
      </c>
    </row>
    <row r="2359" spans="2:2" x14ac:dyDescent="0.2">
      <c r="B2359" s="396">
        <v>2359</v>
      </c>
    </row>
    <row r="2360" spans="2:2" x14ac:dyDescent="0.2">
      <c r="B2360" s="396">
        <v>2360</v>
      </c>
    </row>
    <row r="2361" spans="2:2" x14ac:dyDescent="0.2">
      <c r="B2361" s="396">
        <v>2361</v>
      </c>
    </row>
    <row r="2362" spans="2:2" x14ac:dyDescent="0.2">
      <c r="B2362" s="396">
        <v>2362</v>
      </c>
    </row>
    <row r="2363" spans="2:2" x14ac:dyDescent="0.2">
      <c r="B2363" s="396">
        <v>2363</v>
      </c>
    </row>
    <row r="2364" spans="2:2" x14ac:dyDescent="0.2">
      <c r="B2364" s="396">
        <v>2364</v>
      </c>
    </row>
    <row r="2365" spans="2:2" x14ac:dyDescent="0.2">
      <c r="B2365" s="396">
        <v>2365</v>
      </c>
    </row>
    <row r="2366" spans="2:2" x14ac:dyDescent="0.2">
      <c r="B2366" s="396">
        <v>2366</v>
      </c>
    </row>
    <row r="2367" spans="2:2" x14ac:dyDescent="0.2">
      <c r="B2367" s="396">
        <v>2367</v>
      </c>
    </row>
    <row r="2368" spans="2:2" x14ac:dyDescent="0.2">
      <c r="B2368" s="396">
        <v>2368</v>
      </c>
    </row>
    <row r="2369" spans="2:2" x14ac:dyDescent="0.2">
      <c r="B2369" s="396">
        <v>2369</v>
      </c>
    </row>
    <row r="2370" spans="2:2" x14ac:dyDescent="0.2">
      <c r="B2370" s="396">
        <v>2370</v>
      </c>
    </row>
    <row r="2371" spans="2:2" x14ac:dyDescent="0.2">
      <c r="B2371" s="396">
        <v>2371</v>
      </c>
    </row>
    <row r="2372" spans="2:2" x14ac:dyDescent="0.2">
      <c r="B2372" s="396">
        <v>2372</v>
      </c>
    </row>
    <row r="2373" spans="2:2" x14ac:dyDescent="0.2">
      <c r="B2373" s="396">
        <v>2373</v>
      </c>
    </row>
    <row r="2374" spans="2:2" x14ac:dyDescent="0.2">
      <c r="B2374" s="396">
        <v>2374</v>
      </c>
    </row>
    <row r="2375" spans="2:2" x14ac:dyDescent="0.2">
      <c r="B2375" s="396">
        <v>2375</v>
      </c>
    </row>
    <row r="2376" spans="2:2" x14ac:dyDescent="0.2">
      <c r="B2376" s="396">
        <v>2376</v>
      </c>
    </row>
    <row r="2377" spans="2:2" x14ac:dyDescent="0.2">
      <c r="B2377" s="396">
        <v>2377</v>
      </c>
    </row>
    <row r="2378" spans="2:2" x14ac:dyDescent="0.2">
      <c r="B2378" s="396">
        <v>2378</v>
      </c>
    </row>
    <row r="2379" spans="2:2" x14ac:dyDescent="0.2">
      <c r="B2379" s="396">
        <v>2379</v>
      </c>
    </row>
    <row r="2380" spans="2:2" x14ac:dyDescent="0.2">
      <c r="B2380" s="396">
        <v>2380</v>
      </c>
    </row>
    <row r="2381" spans="2:2" x14ac:dyDescent="0.2">
      <c r="B2381" s="396">
        <v>2381</v>
      </c>
    </row>
    <row r="2382" spans="2:2" x14ac:dyDescent="0.2">
      <c r="B2382" s="396">
        <v>2382</v>
      </c>
    </row>
    <row r="2383" spans="2:2" x14ac:dyDescent="0.2">
      <c r="B2383" s="396">
        <v>2383</v>
      </c>
    </row>
    <row r="2384" spans="2:2" x14ac:dyDescent="0.2">
      <c r="B2384" s="396">
        <v>2384</v>
      </c>
    </row>
    <row r="2385" spans="2:2" x14ac:dyDescent="0.2">
      <c r="B2385" s="396">
        <v>2385</v>
      </c>
    </row>
    <row r="2386" spans="2:2" x14ac:dyDescent="0.2">
      <c r="B2386" s="396">
        <v>2386</v>
      </c>
    </row>
    <row r="2387" spans="2:2" x14ac:dyDescent="0.2">
      <c r="B2387" s="396">
        <v>2387</v>
      </c>
    </row>
    <row r="2388" spans="2:2" x14ac:dyDescent="0.2">
      <c r="B2388" s="396">
        <v>2388</v>
      </c>
    </row>
    <row r="2389" spans="2:2" x14ac:dyDescent="0.2">
      <c r="B2389" s="396">
        <v>2389</v>
      </c>
    </row>
    <row r="2390" spans="2:2" x14ac:dyDescent="0.2">
      <c r="B2390" s="396">
        <v>2390</v>
      </c>
    </row>
    <row r="2391" spans="2:2" x14ac:dyDescent="0.2">
      <c r="B2391" s="396">
        <v>2391</v>
      </c>
    </row>
    <row r="2392" spans="2:2" x14ac:dyDescent="0.2">
      <c r="B2392" s="396">
        <v>2392</v>
      </c>
    </row>
    <row r="2393" spans="2:2" x14ac:dyDescent="0.2">
      <c r="B2393" s="396">
        <v>2393</v>
      </c>
    </row>
    <row r="2394" spans="2:2" x14ac:dyDescent="0.2">
      <c r="B2394" s="396">
        <v>2394</v>
      </c>
    </row>
    <row r="2395" spans="2:2" x14ac:dyDescent="0.2">
      <c r="B2395" s="396">
        <v>2395</v>
      </c>
    </row>
    <row r="2396" spans="2:2" x14ac:dyDescent="0.2">
      <c r="B2396" s="396">
        <v>2396</v>
      </c>
    </row>
    <row r="2397" spans="2:2" x14ac:dyDescent="0.2">
      <c r="B2397" s="396">
        <v>2397</v>
      </c>
    </row>
    <row r="2398" spans="2:2" x14ac:dyDescent="0.2">
      <c r="B2398" s="396">
        <v>2398</v>
      </c>
    </row>
    <row r="2399" spans="2:2" x14ac:dyDescent="0.2">
      <c r="B2399" s="396">
        <v>2399</v>
      </c>
    </row>
    <row r="2400" spans="2:2" x14ac:dyDescent="0.2">
      <c r="B2400" s="396">
        <v>2400</v>
      </c>
    </row>
    <row r="2401" spans="2:2" x14ac:dyDescent="0.2">
      <c r="B2401" s="396">
        <v>2401</v>
      </c>
    </row>
    <row r="2402" spans="2:2" x14ac:dyDescent="0.2">
      <c r="B2402" s="396">
        <v>2402</v>
      </c>
    </row>
    <row r="2403" spans="2:2" x14ac:dyDescent="0.2">
      <c r="B2403" s="396">
        <v>2403</v>
      </c>
    </row>
    <row r="2404" spans="2:2" x14ac:dyDescent="0.2">
      <c r="B2404" s="396">
        <v>2404</v>
      </c>
    </row>
    <row r="2405" spans="2:2" x14ac:dyDescent="0.2">
      <c r="B2405" s="396">
        <v>2405</v>
      </c>
    </row>
    <row r="2406" spans="2:2" x14ac:dyDescent="0.2">
      <c r="B2406" s="396">
        <v>2406</v>
      </c>
    </row>
    <row r="2407" spans="2:2" x14ac:dyDescent="0.2">
      <c r="B2407" s="396">
        <v>2407</v>
      </c>
    </row>
    <row r="2408" spans="2:2" x14ac:dyDescent="0.2">
      <c r="B2408" s="396">
        <v>2408</v>
      </c>
    </row>
    <row r="2409" spans="2:2" x14ac:dyDescent="0.2">
      <c r="B2409" s="396">
        <v>2409</v>
      </c>
    </row>
    <row r="2410" spans="2:2" x14ac:dyDescent="0.2">
      <c r="B2410" s="396">
        <v>2410</v>
      </c>
    </row>
    <row r="2411" spans="2:2" x14ac:dyDescent="0.2">
      <c r="B2411" s="396">
        <v>2411</v>
      </c>
    </row>
    <row r="2412" spans="2:2" x14ac:dyDescent="0.2">
      <c r="B2412" s="396">
        <v>2412</v>
      </c>
    </row>
    <row r="2413" spans="2:2" x14ac:dyDescent="0.2">
      <c r="B2413" s="396">
        <v>2413</v>
      </c>
    </row>
    <row r="2414" spans="2:2" x14ac:dyDescent="0.2">
      <c r="B2414" s="396">
        <v>2414</v>
      </c>
    </row>
    <row r="2415" spans="2:2" x14ac:dyDescent="0.2">
      <c r="B2415" s="396">
        <v>2415</v>
      </c>
    </row>
    <row r="2416" spans="2:2" x14ac:dyDescent="0.2">
      <c r="B2416" s="396">
        <v>2416</v>
      </c>
    </row>
    <row r="2417" spans="2:2" x14ac:dyDescent="0.2">
      <c r="B2417" s="396">
        <v>2417</v>
      </c>
    </row>
    <row r="2418" spans="2:2" x14ac:dyDescent="0.2">
      <c r="B2418" s="396">
        <v>2418</v>
      </c>
    </row>
    <row r="2419" spans="2:2" x14ac:dyDescent="0.2">
      <c r="B2419" s="396">
        <v>2419</v>
      </c>
    </row>
    <row r="2420" spans="2:2" x14ac:dyDescent="0.2">
      <c r="B2420" s="396">
        <v>2420</v>
      </c>
    </row>
    <row r="2421" spans="2:2" x14ac:dyDescent="0.2">
      <c r="B2421" s="396">
        <v>2421</v>
      </c>
    </row>
    <row r="2422" spans="2:2" x14ac:dyDescent="0.2">
      <c r="B2422" s="396">
        <v>2422</v>
      </c>
    </row>
    <row r="2423" spans="2:2" x14ac:dyDescent="0.2">
      <c r="B2423" s="396">
        <v>2423</v>
      </c>
    </row>
    <row r="2424" spans="2:2" x14ac:dyDescent="0.2">
      <c r="B2424" s="396">
        <v>2424</v>
      </c>
    </row>
    <row r="2425" spans="2:2" x14ac:dyDescent="0.2">
      <c r="B2425" s="396">
        <v>2425</v>
      </c>
    </row>
    <row r="2426" spans="2:2" x14ac:dyDescent="0.2">
      <c r="B2426" s="396">
        <v>2426</v>
      </c>
    </row>
    <row r="2427" spans="2:2" x14ac:dyDescent="0.2">
      <c r="B2427" s="396">
        <v>2427</v>
      </c>
    </row>
    <row r="2428" spans="2:2" x14ac:dyDescent="0.2">
      <c r="B2428" s="396">
        <v>2428</v>
      </c>
    </row>
    <row r="2429" spans="2:2" x14ac:dyDescent="0.2">
      <c r="B2429" s="396">
        <v>2429</v>
      </c>
    </row>
    <row r="2430" spans="2:2" x14ac:dyDescent="0.2">
      <c r="B2430" s="396">
        <v>2430</v>
      </c>
    </row>
    <row r="2431" spans="2:2" x14ac:dyDescent="0.2">
      <c r="B2431" s="396">
        <v>2431</v>
      </c>
    </row>
    <row r="2432" spans="2:2" x14ac:dyDescent="0.2">
      <c r="B2432" s="396">
        <v>2432</v>
      </c>
    </row>
    <row r="2433" spans="2:2" x14ac:dyDescent="0.2">
      <c r="B2433" s="396">
        <v>2433</v>
      </c>
    </row>
    <row r="2434" spans="2:2" x14ac:dyDescent="0.2">
      <c r="B2434" s="396">
        <v>2434</v>
      </c>
    </row>
    <row r="2435" spans="2:2" x14ac:dyDescent="0.2">
      <c r="B2435" s="396">
        <v>2435</v>
      </c>
    </row>
    <row r="2436" spans="2:2" x14ac:dyDescent="0.2">
      <c r="B2436" s="396">
        <v>2436</v>
      </c>
    </row>
    <row r="2437" spans="2:2" x14ac:dyDescent="0.2">
      <c r="B2437" s="396">
        <v>2437</v>
      </c>
    </row>
    <row r="2438" spans="2:2" x14ac:dyDescent="0.2">
      <c r="B2438" s="396">
        <v>2438</v>
      </c>
    </row>
    <row r="2439" spans="2:2" x14ac:dyDescent="0.2">
      <c r="B2439" s="396">
        <v>2439</v>
      </c>
    </row>
    <row r="2440" spans="2:2" x14ac:dyDescent="0.2">
      <c r="B2440" s="396">
        <v>2440</v>
      </c>
    </row>
    <row r="2441" spans="2:2" x14ac:dyDescent="0.2">
      <c r="B2441" s="396">
        <v>2441</v>
      </c>
    </row>
    <row r="2442" spans="2:2" x14ac:dyDescent="0.2">
      <c r="B2442" s="396">
        <v>2442</v>
      </c>
    </row>
    <row r="2443" spans="2:2" x14ac:dyDescent="0.2">
      <c r="B2443" s="396">
        <v>2443</v>
      </c>
    </row>
    <row r="2444" spans="2:2" x14ac:dyDescent="0.2">
      <c r="B2444" s="396">
        <v>2444</v>
      </c>
    </row>
    <row r="2445" spans="2:2" x14ac:dyDescent="0.2">
      <c r="B2445" s="396">
        <v>2445</v>
      </c>
    </row>
    <row r="2446" spans="2:2" x14ac:dyDescent="0.2">
      <c r="B2446" s="396">
        <v>2446</v>
      </c>
    </row>
    <row r="2447" spans="2:2" x14ac:dyDescent="0.2">
      <c r="B2447" s="396">
        <v>2447</v>
      </c>
    </row>
    <row r="2448" spans="2:2" x14ac:dyDescent="0.2">
      <c r="B2448" s="396">
        <v>2448</v>
      </c>
    </row>
    <row r="2449" spans="2:2" x14ac:dyDescent="0.2">
      <c r="B2449" s="396">
        <v>2449</v>
      </c>
    </row>
    <row r="2450" spans="2:2" x14ac:dyDescent="0.2">
      <c r="B2450" s="396">
        <v>2450</v>
      </c>
    </row>
    <row r="2451" spans="2:2" x14ac:dyDescent="0.2">
      <c r="B2451" s="396">
        <v>2451</v>
      </c>
    </row>
    <row r="2452" spans="2:2" x14ac:dyDescent="0.2">
      <c r="B2452" s="396">
        <v>2452</v>
      </c>
    </row>
    <row r="2453" spans="2:2" x14ac:dyDescent="0.2">
      <c r="B2453" s="396">
        <v>2453</v>
      </c>
    </row>
    <row r="2454" spans="2:2" x14ac:dyDescent="0.2">
      <c r="B2454" s="396">
        <v>2454</v>
      </c>
    </row>
    <row r="2455" spans="2:2" x14ac:dyDescent="0.2">
      <c r="B2455" s="396">
        <v>2455</v>
      </c>
    </row>
    <row r="2456" spans="2:2" x14ac:dyDescent="0.2">
      <c r="B2456" s="396">
        <v>2456</v>
      </c>
    </row>
    <row r="2457" spans="2:2" x14ac:dyDescent="0.2">
      <c r="B2457" s="396">
        <v>2457</v>
      </c>
    </row>
    <row r="2458" spans="2:2" x14ac:dyDescent="0.2">
      <c r="B2458" s="396">
        <v>2458</v>
      </c>
    </row>
    <row r="2459" spans="2:2" x14ac:dyDescent="0.2">
      <c r="B2459" s="396">
        <v>2459</v>
      </c>
    </row>
    <row r="2460" spans="2:2" x14ac:dyDescent="0.2">
      <c r="B2460" s="396">
        <v>2460</v>
      </c>
    </row>
    <row r="2461" spans="2:2" x14ac:dyDescent="0.2">
      <c r="B2461" s="396">
        <v>2461</v>
      </c>
    </row>
    <row r="2462" spans="2:2" x14ac:dyDescent="0.2">
      <c r="B2462" s="396">
        <v>2462</v>
      </c>
    </row>
    <row r="2463" spans="2:2" x14ac:dyDescent="0.2">
      <c r="B2463" s="396">
        <v>2463</v>
      </c>
    </row>
    <row r="2464" spans="2:2" x14ac:dyDescent="0.2">
      <c r="B2464" s="396">
        <v>2464</v>
      </c>
    </row>
    <row r="2465" spans="2:2" x14ac:dyDescent="0.2">
      <c r="B2465" s="396">
        <v>2465</v>
      </c>
    </row>
    <row r="2466" spans="2:2" x14ac:dyDescent="0.2">
      <c r="B2466" s="396">
        <v>2466</v>
      </c>
    </row>
    <row r="2467" spans="2:2" x14ac:dyDescent="0.2">
      <c r="B2467" s="396">
        <v>2467</v>
      </c>
    </row>
    <row r="2468" spans="2:2" x14ac:dyDescent="0.2">
      <c r="B2468" s="396">
        <v>2468</v>
      </c>
    </row>
    <row r="2469" spans="2:2" x14ac:dyDescent="0.2">
      <c r="B2469" s="396">
        <v>2469</v>
      </c>
    </row>
    <row r="2470" spans="2:2" x14ac:dyDescent="0.2">
      <c r="B2470" s="396">
        <v>2470</v>
      </c>
    </row>
    <row r="2471" spans="2:2" x14ac:dyDescent="0.2">
      <c r="B2471" s="396">
        <v>2471</v>
      </c>
    </row>
    <row r="2472" spans="2:2" x14ac:dyDescent="0.2">
      <c r="B2472" s="396">
        <v>2472</v>
      </c>
    </row>
    <row r="2473" spans="2:2" x14ac:dyDescent="0.2">
      <c r="B2473" s="396">
        <v>2473</v>
      </c>
    </row>
    <row r="2474" spans="2:2" x14ac:dyDescent="0.2">
      <c r="B2474" s="396">
        <v>2474</v>
      </c>
    </row>
    <row r="2475" spans="2:2" x14ac:dyDescent="0.2">
      <c r="B2475" s="396">
        <v>2475</v>
      </c>
    </row>
    <row r="2476" spans="2:2" x14ac:dyDescent="0.2">
      <c r="B2476" s="396">
        <v>2476</v>
      </c>
    </row>
    <row r="2477" spans="2:2" x14ac:dyDescent="0.2">
      <c r="B2477" s="396">
        <v>2477</v>
      </c>
    </row>
    <row r="2478" spans="2:2" x14ac:dyDescent="0.2">
      <c r="B2478" s="396">
        <v>2478</v>
      </c>
    </row>
    <row r="2479" spans="2:2" x14ac:dyDescent="0.2">
      <c r="B2479" s="396">
        <v>2479</v>
      </c>
    </row>
    <row r="2480" spans="2:2" x14ac:dyDescent="0.2">
      <c r="B2480" s="396">
        <v>2480</v>
      </c>
    </row>
    <row r="2481" spans="2:2" x14ac:dyDescent="0.2">
      <c r="B2481" s="396">
        <v>2481</v>
      </c>
    </row>
    <row r="2482" spans="2:2" x14ac:dyDescent="0.2">
      <c r="B2482" s="396">
        <v>2482</v>
      </c>
    </row>
    <row r="2483" spans="2:2" x14ac:dyDescent="0.2">
      <c r="B2483" s="396">
        <v>2483</v>
      </c>
    </row>
    <row r="2484" spans="2:2" x14ac:dyDescent="0.2">
      <c r="B2484" s="396">
        <v>2484</v>
      </c>
    </row>
    <row r="2485" spans="2:2" x14ac:dyDescent="0.2">
      <c r="B2485" s="396">
        <v>2485</v>
      </c>
    </row>
    <row r="2486" spans="2:2" x14ac:dyDescent="0.2">
      <c r="B2486" s="396">
        <v>2486</v>
      </c>
    </row>
    <row r="2487" spans="2:2" x14ac:dyDescent="0.2">
      <c r="B2487" s="396">
        <v>2487</v>
      </c>
    </row>
    <row r="2488" spans="2:2" x14ac:dyDescent="0.2">
      <c r="B2488" s="396">
        <v>2488</v>
      </c>
    </row>
    <row r="2489" spans="2:2" x14ac:dyDescent="0.2">
      <c r="B2489" s="396">
        <v>2489</v>
      </c>
    </row>
    <row r="2490" spans="2:2" x14ac:dyDescent="0.2">
      <c r="B2490" s="396">
        <v>2490</v>
      </c>
    </row>
    <row r="2491" spans="2:2" x14ac:dyDescent="0.2">
      <c r="B2491" s="396">
        <v>2491</v>
      </c>
    </row>
    <row r="2492" spans="2:2" x14ac:dyDescent="0.2">
      <c r="B2492" s="396">
        <v>2492</v>
      </c>
    </row>
    <row r="2493" spans="2:2" x14ac:dyDescent="0.2">
      <c r="B2493" s="396">
        <v>2493</v>
      </c>
    </row>
    <row r="2494" spans="2:2" x14ac:dyDescent="0.2">
      <c r="B2494" s="396">
        <v>2494</v>
      </c>
    </row>
    <row r="2495" spans="2:2" x14ac:dyDescent="0.2">
      <c r="B2495" s="396">
        <v>2495</v>
      </c>
    </row>
    <row r="2496" spans="2:2" x14ac:dyDescent="0.2">
      <c r="B2496" s="396">
        <v>2496</v>
      </c>
    </row>
    <row r="2497" spans="2:2" x14ac:dyDescent="0.2">
      <c r="B2497" s="396">
        <v>2497</v>
      </c>
    </row>
    <row r="2498" spans="2:2" x14ac:dyDescent="0.2">
      <c r="B2498" s="396">
        <v>2498</v>
      </c>
    </row>
    <row r="2499" spans="2:2" x14ac:dyDescent="0.2">
      <c r="B2499" s="396">
        <v>2499</v>
      </c>
    </row>
    <row r="2500" spans="2:2" x14ac:dyDescent="0.2">
      <c r="B2500" s="396">
        <v>2500</v>
      </c>
    </row>
    <row r="2501" spans="2:2" x14ac:dyDescent="0.2">
      <c r="B2501" s="396">
        <v>2501</v>
      </c>
    </row>
    <row r="2502" spans="2:2" x14ac:dyDescent="0.2">
      <c r="B2502" s="396">
        <v>2502</v>
      </c>
    </row>
    <row r="2503" spans="2:2" x14ac:dyDescent="0.2">
      <c r="B2503" s="396">
        <v>2503</v>
      </c>
    </row>
    <row r="2504" spans="2:2" x14ac:dyDescent="0.2">
      <c r="B2504" s="396">
        <v>2504</v>
      </c>
    </row>
    <row r="2505" spans="2:2" x14ac:dyDescent="0.2">
      <c r="B2505" s="396">
        <v>2505</v>
      </c>
    </row>
    <row r="2506" spans="2:2" x14ac:dyDescent="0.2">
      <c r="B2506" s="396">
        <v>2506</v>
      </c>
    </row>
    <row r="2507" spans="2:2" x14ac:dyDescent="0.2">
      <c r="B2507" s="396">
        <v>2507</v>
      </c>
    </row>
    <row r="2508" spans="2:2" x14ac:dyDescent="0.2">
      <c r="B2508" s="396">
        <v>2508</v>
      </c>
    </row>
    <row r="2509" spans="2:2" x14ac:dyDescent="0.2">
      <c r="B2509" s="396">
        <v>2509</v>
      </c>
    </row>
    <row r="2510" spans="2:2" x14ac:dyDescent="0.2">
      <c r="B2510" s="396">
        <v>2510</v>
      </c>
    </row>
    <row r="2511" spans="2:2" x14ac:dyDescent="0.2">
      <c r="B2511" s="396">
        <v>2511</v>
      </c>
    </row>
    <row r="2512" spans="2:2" x14ac:dyDescent="0.2">
      <c r="B2512" s="396">
        <v>2512</v>
      </c>
    </row>
    <row r="2513" spans="2:2" x14ac:dyDescent="0.2">
      <c r="B2513" s="396">
        <v>2513</v>
      </c>
    </row>
    <row r="2514" spans="2:2" x14ac:dyDescent="0.2">
      <c r="B2514" s="396">
        <v>2514</v>
      </c>
    </row>
    <row r="2515" spans="2:2" x14ac:dyDescent="0.2">
      <c r="B2515" s="396">
        <v>2515</v>
      </c>
    </row>
    <row r="2516" spans="2:2" x14ac:dyDescent="0.2">
      <c r="B2516" s="396">
        <v>2516</v>
      </c>
    </row>
    <row r="2517" spans="2:2" x14ac:dyDescent="0.2">
      <c r="B2517" s="396">
        <v>2517</v>
      </c>
    </row>
    <row r="2518" spans="2:2" x14ac:dyDescent="0.2">
      <c r="B2518" s="396">
        <v>2518</v>
      </c>
    </row>
    <row r="2519" spans="2:2" x14ac:dyDescent="0.2">
      <c r="B2519" s="396">
        <v>2519</v>
      </c>
    </row>
    <row r="2520" spans="2:2" x14ac:dyDescent="0.2">
      <c r="B2520" s="396">
        <v>2520</v>
      </c>
    </row>
    <row r="2521" spans="2:2" x14ac:dyDescent="0.2">
      <c r="B2521" s="396">
        <v>2521</v>
      </c>
    </row>
    <row r="2522" spans="2:2" x14ac:dyDescent="0.2">
      <c r="B2522" s="396">
        <v>2522</v>
      </c>
    </row>
    <row r="2523" spans="2:2" x14ac:dyDescent="0.2">
      <c r="B2523" s="396">
        <v>2523</v>
      </c>
    </row>
    <row r="2524" spans="2:2" x14ac:dyDescent="0.2">
      <c r="B2524" s="396">
        <v>2524</v>
      </c>
    </row>
    <row r="2525" spans="2:2" x14ac:dyDescent="0.2">
      <c r="B2525" s="396">
        <v>2525</v>
      </c>
    </row>
    <row r="2526" spans="2:2" x14ac:dyDescent="0.2">
      <c r="B2526" s="396">
        <v>2526</v>
      </c>
    </row>
    <row r="2527" spans="2:2" x14ac:dyDescent="0.2">
      <c r="B2527" s="396">
        <v>2527</v>
      </c>
    </row>
    <row r="2528" spans="2:2" x14ac:dyDescent="0.2">
      <c r="B2528" s="396">
        <v>2528</v>
      </c>
    </row>
    <row r="2529" spans="2:2" x14ac:dyDescent="0.2">
      <c r="B2529" s="396">
        <v>2529</v>
      </c>
    </row>
    <row r="2530" spans="2:2" x14ac:dyDescent="0.2">
      <c r="B2530" s="396">
        <v>2530</v>
      </c>
    </row>
    <row r="2531" spans="2:2" x14ac:dyDescent="0.2">
      <c r="B2531" s="396">
        <v>2531</v>
      </c>
    </row>
    <row r="2532" spans="2:2" x14ac:dyDescent="0.2">
      <c r="B2532" s="396">
        <v>2532</v>
      </c>
    </row>
    <row r="2533" spans="2:2" x14ac:dyDescent="0.2">
      <c r="B2533" s="396">
        <v>2533</v>
      </c>
    </row>
    <row r="2534" spans="2:2" x14ac:dyDescent="0.2">
      <c r="B2534" s="396">
        <v>2534</v>
      </c>
    </row>
    <row r="2535" spans="2:2" x14ac:dyDescent="0.2">
      <c r="B2535" s="396">
        <v>2535</v>
      </c>
    </row>
    <row r="2536" spans="2:2" x14ac:dyDescent="0.2">
      <c r="B2536" s="396">
        <v>2536</v>
      </c>
    </row>
    <row r="2537" spans="2:2" x14ac:dyDescent="0.2">
      <c r="B2537" s="396">
        <v>2537</v>
      </c>
    </row>
    <row r="2538" spans="2:2" x14ac:dyDescent="0.2">
      <c r="B2538" s="396">
        <v>2538</v>
      </c>
    </row>
    <row r="2539" spans="2:2" x14ac:dyDescent="0.2">
      <c r="B2539" s="396">
        <v>2539</v>
      </c>
    </row>
    <row r="2540" spans="2:2" x14ac:dyDescent="0.2">
      <c r="B2540" s="396">
        <v>2540</v>
      </c>
    </row>
    <row r="2541" spans="2:2" x14ac:dyDescent="0.2">
      <c r="B2541" s="396">
        <v>2541</v>
      </c>
    </row>
    <row r="2542" spans="2:2" x14ac:dyDescent="0.2">
      <c r="B2542" s="396">
        <v>2542</v>
      </c>
    </row>
    <row r="2543" spans="2:2" x14ac:dyDescent="0.2">
      <c r="B2543" s="396">
        <v>2543</v>
      </c>
    </row>
    <row r="2544" spans="2:2" x14ac:dyDescent="0.2">
      <c r="B2544" s="396">
        <v>2544</v>
      </c>
    </row>
    <row r="2545" spans="2:2" x14ac:dyDescent="0.2">
      <c r="B2545" s="396">
        <v>2545</v>
      </c>
    </row>
    <row r="2546" spans="2:2" x14ac:dyDescent="0.2">
      <c r="B2546" s="396">
        <v>2546</v>
      </c>
    </row>
    <row r="2547" spans="2:2" x14ac:dyDescent="0.2">
      <c r="B2547" s="396">
        <v>2547</v>
      </c>
    </row>
    <row r="2548" spans="2:2" x14ac:dyDescent="0.2">
      <c r="B2548" s="396">
        <v>2548</v>
      </c>
    </row>
    <row r="2549" spans="2:2" x14ac:dyDescent="0.2">
      <c r="B2549" s="396">
        <v>2549</v>
      </c>
    </row>
    <row r="2550" spans="2:2" x14ac:dyDescent="0.2">
      <c r="B2550" s="396">
        <v>2550</v>
      </c>
    </row>
    <row r="2551" spans="2:2" x14ac:dyDescent="0.2">
      <c r="B2551" s="396">
        <v>2551</v>
      </c>
    </row>
    <row r="2552" spans="2:2" x14ac:dyDescent="0.2">
      <c r="B2552" s="396">
        <v>2552</v>
      </c>
    </row>
    <row r="2553" spans="2:2" x14ac:dyDescent="0.2">
      <c r="B2553" s="396">
        <v>2553</v>
      </c>
    </row>
    <row r="2554" spans="2:2" x14ac:dyDescent="0.2">
      <c r="B2554" s="396">
        <v>2554</v>
      </c>
    </row>
    <row r="2555" spans="2:2" x14ac:dyDescent="0.2">
      <c r="B2555" s="396">
        <v>2555</v>
      </c>
    </row>
    <row r="2556" spans="2:2" x14ac:dyDescent="0.2">
      <c r="B2556" s="396">
        <v>2556</v>
      </c>
    </row>
    <row r="2557" spans="2:2" x14ac:dyDescent="0.2">
      <c r="B2557" s="396">
        <v>2557</v>
      </c>
    </row>
    <row r="2558" spans="2:2" x14ac:dyDescent="0.2">
      <c r="B2558" s="396">
        <v>2558</v>
      </c>
    </row>
    <row r="2559" spans="2:2" x14ac:dyDescent="0.2">
      <c r="B2559" s="396">
        <v>2559</v>
      </c>
    </row>
    <row r="2560" spans="2:2" x14ac:dyDescent="0.2">
      <c r="B2560" s="396">
        <v>2560</v>
      </c>
    </row>
    <row r="2561" spans="2:2" x14ac:dyDescent="0.2">
      <c r="B2561" s="396">
        <v>2561</v>
      </c>
    </row>
    <row r="2562" spans="2:2" x14ac:dyDescent="0.2">
      <c r="B2562" s="396">
        <v>2562</v>
      </c>
    </row>
    <row r="2563" spans="2:2" x14ac:dyDescent="0.2">
      <c r="B2563" s="396">
        <v>2563</v>
      </c>
    </row>
    <row r="2564" spans="2:2" x14ac:dyDescent="0.2">
      <c r="B2564" s="396">
        <v>2564</v>
      </c>
    </row>
    <row r="2565" spans="2:2" x14ac:dyDescent="0.2">
      <c r="B2565" s="396">
        <v>2565</v>
      </c>
    </row>
    <row r="2566" spans="2:2" x14ac:dyDescent="0.2">
      <c r="B2566" s="396">
        <v>2566</v>
      </c>
    </row>
    <row r="2567" spans="2:2" x14ac:dyDescent="0.2">
      <c r="B2567" s="396">
        <v>2567</v>
      </c>
    </row>
    <row r="2568" spans="2:2" x14ac:dyDescent="0.2">
      <c r="B2568" s="396">
        <v>2568</v>
      </c>
    </row>
    <row r="2569" spans="2:2" x14ac:dyDescent="0.2">
      <c r="B2569" s="396">
        <v>2569</v>
      </c>
    </row>
  </sheetData>
  <sheetProtection formatCells="0" formatColumns="0" formatRows="0" insertColumns="0" insertRows="0" insertHyperlinks="0" deleteColumns="0" deleteRows="0" sort="0" autoFilter="0" pivotTables="0"/>
  <mergeCells count="1">
    <mergeCell ref="E113:R113"/>
  </mergeCells>
  <pageMargins left="0.7" right="0.7" top="0.78740157499999996" bottom="0.78740157499999996" header="0.3" footer="0.3"/>
  <pageSetup paperSize="9" scale="66" orientation="portrait" r:id="rId1"/>
  <rowBreaks count="1" manualBreakCount="1">
    <brk id="257" min="1" max="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List7"/>
  <dimension ref="A1:E63"/>
  <sheetViews>
    <sheetView topLeftCell="A15" workbookViewId="0">
      <selection activeCell="A55" sqref="A55"/>
    </sheetView>
  </sheetViews>
  <sheetFormatPr defaultColWidth="9.140625" defaultRowHeight="12.75" x14ac:dyDescent="0.2"/>
  <cols>
    <col min="1" max="1" width="45.140625" bestFit="1" customWidth="1"/>
  </cols>
  <sheetData>
    <row r="1" spans="1:5" ht="13.5" thickBot="1" x14ac:dyDescent="0.25">
      <c r="A1" s="429" t="s">
        <v>1330</v>
      </c>
      <c r="B1" s="428"/>
      <c r="C1" s="428"/>
      <c r="D1" s="428"/>
      <c r="E1" s="428"/>
    </row>
    <row r="3" spans="1:5" ht="13.5" x14ac:dyDescent="0.2">
      <c r="A3" s="430" t="s">
        <v>1331</v>
      </c>
    </row>
    <row r="4" spans="1:5" x14ac:dyDescent="0.2">
      <c r="A4" s="431" t="s">
        <v>1332</v>
      </c>
    </row>
    <row r="5" spans="1:5" x14ac:dyDescent="0.2">
      <c r="A5" s="431" t="s">
        <v>1333</v>
      </c>
    </row>
    <row r="6" spans="1:5" x14ac:dyDescent="0.2">
      <c r="A6" s="431" t="s">
        <v>1334</v>
      </c>
    </row>
    <row r="8" spans="1:5" ht="13.5" x14ac:dyDescent="0.2">
      <c r="A8" s="430" t="s">
        <v>1335</v>
      </c>
    </row>
    <row r="9" spans="1:5" x14ac:dyDescent="0.2">
      <c r="A9" s="431" t="s">
        <v>1336</v>
      </c>
    </row>
    <row r="10" spans="1:5" x14ac:dyDescent="0.2">
      <c r="A10" s="441" t="s">
        <v>1337</v>
      </c>
    </row>
    <row r="11" spans="1:5" x14ac:dyDescent="0.2">
      <c r="A11" s="441" t="s">
        <v>1338</v>
      </c>
    </row>
    <row r="13" spans="1:5" ht="13.5" x14ac:dyDescent="0.2">
      <c r="A13" s="430" t="s">
        <v>1339</v>
      </c>
    </row>
    <row r="14" spans="1:5" x14ac:dyDescent="0.2">
      <c r="A14" s="431" t="s">
        <v>1340</v>
      </c>
    </row>
    <row r="15" spans="1:5" x14ac:dyDescent="0.2">
      <c r="A15" s="431" t="s">
        <v>1341</v>
      </c>
    </row>
    <row r="16" spans="1:5" x14ac:dyDescent="0.2">
      <c r="A16" s="431" t="s">
        <v>1342</v>
      </c>
    </row>
    <row r="17" spans="1:1" x14ac:dyDescent="0.2">
      <c r="A17" s="431" t="s">
        <v>1343</v>
      </c>
    </row>
    <row r="18" spans="1:1" x14ac:dyDescent="0.2">
      <c r="A18" s="431" t="s">
        <v>1344</v>
      </c>
    </row>
    <row r="20" spans="1:1" ht="13.5" x14ac:dyDescent="0.2">
      <c r="A20" s="430" t="s">
        <v>1345</v>
      </c>
    </row>
    <row r="21" spans="1:1" x14ac:dyDescent="0.2">
      <c r="A21" s="431" t="s">
        <v>1346</v>
      </c>
    </row>
    <row r="22" spans="1:1" x14ac:dyDescent="0.2">
      <c r="A22" s="431" t="s">
        <v>1347</v>
      </c>
    </row>
    <row r="23" spans="1:1" x14ac:dyDescent="0.2">
      <c r="A23" s="431" t="s">
        <v>1348</v>
      </c>
    </row>
    <row r="24" spans="1:1" x14ac:dyDescent="0.2">
      <c r="A24" s="431" t="s">
        <v>1349</v>
      </c>
    </row>
    <row r="25" spans="1:1" x14ac:dyDescent="0.2">
      <c r="A25" s="431" t="s">
        <v>1350</v>
      </c>
    </row>
    <row r="26" spans="1:1" x14ac:dyDescent="0.2">
      <c r="A26" s="431" t="s">
        <v>1351</v>
      </c>
    </row>
    <row r="27" spans="1:1" x14ac:dyDescent="0.2">
      <c r="A27" s="431" t="s">
        <v>1352</v>
      </c>
    </row>
    <row r="28" spans="1:1" x14ac:dyDescent="0.2">
      <c r="A28" s="431" t="s">
        <v>1353</v>
      </c>
    </row>
    <row r="29" spans="1:1" x14ac:dyDescent="0.2">
      <c r="A29" s="431" t="s">
        <v>1354</v>
      </c>
    </row>
    <row r="30" spans="1:1" x14ac:dyDescent="0.2">
      <c r="A30" s="431" t="s">
        <v>1355</v>
      </c>
    </row>
    <row r="31" spans="1:1" x14ac:dyDescent="0.2">
      <c r="A31" s="431" t="s">
        <v>1356</v>
      </c>
    </row>
    <row r="33" spans="1:1" ht="13.5" x14ac:dyDescent="0.2">
      <c r="A33" s="430" t="s">
        <v>1357</v>
      </c>
    </row>
    <row r="34" spans="1:1" x14ac:dyDescent="0.2">
      <c r="A34" s="431" t="s">
        <v>1358</v>
      </c>
    </row>
    <row r="35" spans="1:1" x14ac:dyDescent="0.2">
      <c r="A35" s="431" t="s">
        <v>1359</v>
      </c>
    </row>
    <row r="36" spans="1:1" x14ac:dyDescent="0.2">
      <c r="A36" s="510" t="s">
        <v>1360</v>
      </c>
    </row>
    <row r="37" spans="1:1" x14ac:dyDescent="0.2">
      <c r="A37" s="431" t="s">
        <v>1361</v>
      </c>
    </row>
    <row r="39" spans="1:1" ht="13.5" x14ac:dyDescent="0.2">
      <c r="A39" s="430" t="s">
        <v>1362</v>
      </c>
    </row>
    <row r="40" spans="1:1" x14ac:dyDescent="0.2">
      <c r="A40" s="431" t="s">
        <v>1363</v>
      </c>
    </row>
    <row r="41" spans="1:1" ht="15.75" x14ac:dyDescent="0.3">
      <c r="A41" s="431" t="s">
        <v>1364</v>
      </c>
    </row>
    <row r="42" spans="1:1" ht="15.75" x14ac:dyDescent="0.3">
      <c r="A42" s="431" t="s">
        <v>1365</v>
      </c>
    </row>
    <row r="43" spans="1:1" x14ac:dyDescent="0.2">
      <c r="A43" s="431" t="s">
        <v>1366</v>
      </c>
    </row>
    <row r="45" spans="1:1" ht="13.5" x14ac:dyDescent="0.2">
      <c r="A45" s="430" t="s">
        <v>1567</v>
      </c>
    </row>
    <row r="46" spans="1:1" x14ac:dyDescent="0.2">
      <c r="A46" s="1716" t="s">
        <v>1568</v>
      </c>
    </row>
    <row r="48" spans="1:1" ht="13.5" x14ac:dyDescent="0.2">
      <c r="A48" s="430" t="s">
        <v>1583</v>
      </c>
    </row>
    <row r="49" spans="1:1" x14ac:dyDescent="0.2">
      <c r="A49" s="1716" t="s">
        <v>1572</v>
      </c>
    </row>
    <row r="50" spans="1:1" x14ac:dyDescent="0.2">
      <c r="A50" s="1716" t="s">
        <v>1573</v>
      </c>
    </row>
    <row r="51" spans="1:1" x14ac:dyDescent="0.2">
      <c r="A51" s="1716" t="s">
        <v>1574</v>
      </c>
    </row>
    <row r="52" spans="1:1" x14ac:dyDescent="0.2">
      <c r="A52" s="1716" t="s">
        <v>1584</v>
      </c>
    </row>
    <row r="53" spans="1:1" ht="13.5" x14ac:dyDescent="0.2">
      <c r="A53" s="430" t="s">
        <v>1585</v>
      </c>
    </row>
    <row r="54" spans="1:1" x14ac:dyDescent="0.2">
      <c r="A54" s="1716" t="s">
        <v>1586</v>
      </c>
    </row>
    <row r="55" spans="1:1" x14ac:dyDescent="0.2">
      <c r="A55" s="1716"/>
    </row>
    <row r="56" spans="1:1" x14ac:dyDescent="0.2">
      <c r="A56" s="1716"/>
    </row>
    <row r="57" spans="1:1" x14ac:dyDescent="0.2">
      <c r="A57" s="1716"/>
    </row>
    <row r="58" spans="1:1" x14ac:dyDescent="0.2">
      <c r="A58" s="1716"/>
    </row>
    <row r="59" spans="1:1" x14ac:dyDescent="0.2">
      <c r="A59" s="1716"/>
    </row>
    <row r="60" spans="1:1" x14ac:dyDescent="0.2">
      <c r="A60" s="1716"/>
    </row>
    <row r="61" spans="1:1" x14ac:dyDescent="0.2">
      <c r="A61" s="1716"/>
    </row>
    <row r="62" spans="1:1" x14ac:dyDescent="0.2">
      <c r="A62" s="1716"/>
    </row>
    <row r="63" spans="1:1" x14ac:dyDescent="0.2">
      <c r="A63" s="1716"/>
    </row>
  </sheetData>
  <sheetProtection formatCells="0" formatColumns="0" formatRows="0" insertColumns="0" insertRows="0" insertHyperlinks="0" deleteColumns="0" deleteRows="0" sort="0" autoFilter="0" pivotTables="0"/>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2B40152AD0F28F40A333F7C0B0019EC2" ma:contentTypeVersion="16" ma:contentTypeDescription="Vytvoří nový dokument" ma:contentTypeScope="" ma:versionID="8d27a3c2f48b9337fef8bdbdb84be371">
  <xsd:schema xmlns:xsd="http://www.w3.org/2001/XMLSchema" xmlns:xs="http://www.w3.org/2001/XMLSchema" xmlns:p="http://schemas.microsoft.com/office/2006/metadata/properties" xmlns:ns2="dd68af59-de23-4773-83d8-6ba63a8d7f19" xmlns:ns3="b98f17fa-aa06-4985-8fe4-198fcf8a8f9c" targetNamespace="http://schemas.microsoft.com/office/2006/metadata/properties" ma:root="true" ma:fieldsID="e7c0c01c5a805b08e45012e3b61de0d7" ns2:_="" ns3:_="">
    <xsd:import namespace="dd68af59-de23-4773-83d8-6ba63a8d7f19"/>
    <xsd:import namespace="b98f17fa-aa06-4985-8fe4-198fcf8a8f9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lcf76f155ced4ddcb4097134ff3c332f" minOccurs="0"/>
                <xsd:element ref="ns3:TaxCatchAll"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68af59-de23-4773-83d8-6ba63a8d7f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Značky obrázků" ma:readOnly="false" ma:fieldId="{5cf76f15-5ced-4ddc-b409-7134ff3c332f}" ma:taxonomyMulti="true" ma:sspId="213364ca-ecfc-4a53-b039-ef8c2ba6e9f9"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98f17fa-aa06-4985-8fe4-198fcf8a8f9c" elementFormDefault="qualified">
    <xsd:import namespace="http://schemas.microsoft.com/office/2006/documentManagement/types"/>
    <xsd:import namespace="http://schemas.microsoft.com/office/infopath/2007/PartnerControls"/>
    <xsd:element name="SharedWithUsers" ma:index="10" nillable="true" ma:displayName="Sdílí se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dílené s podrobnostmi" ma:internalName="SharedWithDetails" ma:readOnly="true">
      <xsd:simpleType>
        <xsd:restriction base="dms:Note">
          <xsd:maxLength value="255"/>
        </xsd:restriction>
      </xsd:simpleType>
    </xsd:element>
    <xsd:element name="TaxCatchAll" ma:index="22" nillable="true" ma:displayName="Taxonomy Catch All Column" ma:hidden="true" ma:list="{f6caaf7c-9b87-42e5-89b7-ef48a43ad4e3}" ma:internalName="TaxCatchAll" ma:showField="CatchAllData" ma:web="b98f17fa-aa06-4985-8fe4-198fcf8a8f9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d68af59-de23-4773-83d8-6ba63a8d7f19">
      <Terms xmlns="http://schemas.microsoft.com/office/infopath/2007/PartnerControls"/>
    </lcf76f155ced4ddcb4097134ff3c332f>
    <TaxCatchAll xmlns="b98f17fa-aa06-4985-8fe4-198fcf8a8f9c" xsi:nil="true"/>
  </documentManagement>
</p:properties>
</file>

<file path=customXml/itemProps1.xml><?xml version="1.0" encoding="utf-8"?>
<ds:datastoreItem xmlns:ds="http://schemas.openxmlformats.org/officeDocument/2006/customXml" ds:itemID="{FA1901F0-394D-45AF-BBA3-59A1A1D15910}">
  <ds:schemaRefs>
    <ds:schemaRef ds:uri="http://schemas.microsoft.com/sharepoint/v3/contenttype/forms"/>
  </ds:schemaRefs>
</ds:datastoreItem>
</file>

<file path=customXml/itemProps2.xml><?xml version="1.0" encoding="utf-8"?>
<ds:datastoreItem xmlns:ds="http://schemas.openxmlformats.org/officeDocument/2006/customXml" ds:itemID="{1E58F0C5-D056-4535-A995-9216FF0235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68af59-de23-4773-83d8-6ba63a8d7f19"/>
    <ds:schemaRef ds:uri="b98f17fa-aa06-4985-8fe4-198fcf8a8f9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3B8FD86-D72E-43C0-9164-8613BA69DEAE}">
  <ds:schemaRefs>
    <ds:schemaRef ds:uri="http://schemas.openxmlformats.org/package/2006/metadata/core-properties"/>
    <ds:schemaRef ds:uri="http://purl.org/dc/elements/1.1/"/>
    <ds:schemaRef ds:uri="http://schemas.microsoft.com/office/2006/documentManagement/types"/>
    <ds:schemaRef ds:uri="http://schemas.microsoft.com/office/2006/metadata/properties"/>
    <ds:schemaRef ds:uri="http://purl.org/dc/terms/"/>
    <ds:schemaRef ds:uri="b98f17fa-aa06-4985-8fe4-198fcf8a8f9c"/>
    <ds:schemaRef ds:uri="http://schemas.microsoft.com/office/infopath/2007/PartnerControls"/>
    <ds:schemaRef ds:uri="dd68af59-de23-4773-83d8-6ba63a8d7f19"/>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17</vt:i4>
      </vt:variant>
      <vt:variant>
        <vt:lpstr>Pojmenované oblasti</vt:lpstr>
      </vt:variant>
      <vt:variant>
        <vt:i4>22</vt:i4>
      </vt:variant>
    </vt:vector>
  </HeadingPairs>
  <TitlesOfParts>
    <vt:vector size="39" baseType="lpstr">
      <vt:lpstr>0 Úvod</vt:lpstr>
      <vt:lpstr>1 CIN</vt:lpstr>
      <vt:lpstr>2 ZH</vt:lpstr>
      <vt:lpstr>3 Doprava a přeprava</vt:lpstr>
      <vt:lpstr>4 PN infrastruktury</vt:lpstr>
      <vt:lpstr>5 PN vozidel MHD</vt:lpstr>
      <vt:lpstr>6 Příjmy</vt:lpstr>
      <vt:lpstr>7 Finanční analýza</vt:lpstr>
      <vt:lpstr>8 Úspory času</vt:lpstr>
      <vt:lpstr>9 Hluk a nehodovost</vt:lpstr>
      <vt:lpstr>10 Emise a ŽP</vt:lpstr>
      <vt:lpstr>11 Klima</vt:lpstr>
      <vt:lpstr>12 Ostatní přínosy</vt:lpstr>
      <vt:lpstr>11 KF</vt:lpstr>
      <vt:lpstr>13 Ekonomická analýza</vt:lpstr>
      <vt:lpstr>Slovnik</vt:lpstr>
      <vt:lpstr>Změnový list</vt:lpstr>
      <vt:lpstr>'4 PN infrastruktury'!_Toc490165986</vt:lpstr>
      <vt:lpstr>'0 Úvod'!Oblast_tisku</vt:lpstr>
      <vt:lpstr>'1 CIN'!Oblast_tisku</vt:lpstr>
      <vt:lpstr>'10 Emise a ŽP'!Oblast_tisku</vt:lpstr>
      <vt:lpstr>'11 KF'!Oblast_tisku</vt:lpstr>
      <vt:lpstr>'11 Klima'!Oblast_tisku</vt:lpstr>
      <vt:lpstr>'12 Ostatní přínosy'!Oblast_tisku</vt:lpstr>
      <vt:lpstr>'13 Ekonomická analýza'!Oblast_tisku</vt:lpstr>
      <vt:lpstr>'2 ZH'!Oblast_tisku</vt:lpstr>
      <vt:lpstr>'3 Doprava a přeprava'!Oblast_tisku</vt:lpstr>
      <vt:lpstr>'4 PN infrastruktury'!Oblast_tisku</vt:lpstr>
      <vt:lpstr>'5 PN vozidel MHD'!Oblast_tisku</vt:lpstr>
      <vt:lpstr>'6 Příjmy'!Oblast_tisku</vt:lpstr>
      <vt:lpstr>'7 Finanční analýza'!Oblast_tisku</vt:lpstr>
      <vt:lpstr>'8 Úspory času'!Oblast_tisku</vt:lpstr>
      <vt:lpstr>'9 Hluk a nehodovost'!Oblast_tisku</vt:lpstr>
      <vt:lpstr>Slovnik!Oblast_tisku</vt:lpstr>
      <vt:lpstr>Slovnik!PNINFRA</vt:lpstr>
      <vt:lpstr>PNINFRA</vt:lpstr>
      <vt:lpstr>Slovnik!PNVOZIDLA</vt:lpstr>
      <vt:lpstr>PNVOZIDLA</vt:lpstr>
      <vt:lpstr>SLOVNIK</vt:lpstr>
    </vt:vector>
  </TitlesOfParts>
  <Manager/>
  <Company>BEI | EIB</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Katarina Vrabelova</dc:creator>
  <cp:keywords/>
  <dc:description/>
  <cp:lastModifiedBy>Petr Halámek</cp:lastModifiedBy>
  <cp:revision/>
  <cp:lastPrinted>2022-07-27T19:42:01Z</cp:lastPrinted>
  <dcterms:created xsi:type="dcterms:W3CDTF">2004-06-30T11:02:41Z</dcterms:created>
  <dcterms:modified xsi:type="dcterms:W3CDTF">2025-05-07T11:08:36Z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0x0101002B40152AD0F28F40A333F7C0B0019EC2</vt:lpwstr>
  </property>
  <property fmtid="{D5CDD505-2E9C-101B-9397-08002B2CF9AE}" pid="4" name="MediaServiceImageTags">
    <vt:lpwstr/>
  </property>
</Properties>
</file>